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903"/>
  <workbookPr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xr:revisionPtr revIDLastSave="1" documentId="927CA4561BC4A7D7DB6D9B3C28693F898D1FE3BE" xr6:coauthVersionLast="26" xr6:coauthVersionMax="26" xr10:uidLastSave="{00000000-0000-0000-0000-000000000000}"/>
  <bookViews>
    <workbookView xWindow="0" yWindow="0" windowWidth="23040" windowHeight="8532" xr2:uid="{00000000-000D-0000-FFFF-FFFF00000000}"/>
  </bookViews>
  <sheets>
    <sheet name="Budget" sheetId="1" r:id="rId1"/>
    <sheet name="Schedule" sheetId="2" r:id="rId2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35" i="1"/>
  <c r="D29" i="1"/>
  <c r="D26" i="1"/>
  <c r="D31" i="1"/>
  <c r="D42" i="1"/>
  <c r="C42" i="1"/>
  <c r="C41" i="1"/>
  <c r="D24" i="1"/>
  <c r="C19" i="1"/>
  <c r="D16" i="1"/>
  <c r="C16" i="1"/>
  <c r="D14" i="1"/>
  <c r="C14" i="1"/>
  <c r="D19" i="1"/>
  <c r="D21" i="1"/>
  <c r="D22" i="1"/>
  <c r="D28" i="1"/>
  <c r="D32" i="1"/>
  <c r="D37" i="1"/>
  <c r="C24" i="1"/>
  <c r="C21" i="1"/>
  <c r="C22" i="1"/>
  <c r="C26" i="1"/>
  <c r="C43" i="1"/>
  <c r="C28" i="1"/>
  <c r="C44" i="1"/>
  <c r="C8" i="2"/>
  <c r="C29" i="1"/>
  <c r="D43" i="1"/>
  <c r="D44" i="1"/>
</calcChain>
</file>

<file path=xl/sharedStrings.xml><?xml version="1.0" encoding="utf-8"?>
<sst xmlns="http://schemas.openxmlformats.org/spreadsheetml/2006/main" count="74" uniqueCount="69">
  <si>
    <t>Forecast</t>
  </si>
  <si>
    <t xml:space="preserve">Notes </t>
  </si>
  <si>
    <t>Show</t>
  </si>
  <si>
    <t xml:space="preserve">Flood April </t>
  </si>
  <si>
    <t>Flood Sept/Oct</t>
  </si>
  <si>
    <t>Company</t>
  </si>
  <si>
    <t>Slung Low</t>
  </si>
  <si>
    <t>Venue</t>
  </si>
  <si>
    <t>Vic Dock</t>
  </si>
  <si>
    <t>Date</t>
  </si>
  <si>
    <t xml:space="preserve">APRIL </t>
  </si>
  <si>
    <t>OCT - 2 WEEK</t>
  </si>
  <si>
    <t>Time</t>
  </si>
  <si>
    <t>8pm</t>
  </si>
  <si>
    <t xml:space="preserve">7pm &amp; 9pm </t>
  </si>
  <si>
    <t>Duration</t>
  </si>
  <si>
    <t>77mins</t>
  </si>
  <si>
    <t xml:space="preserve">TBC </t>
  </si>
  <si>
    <t>INCOME</t>
  </si>
  <si>
    <t>Variable assumptions</t>
  </si>
  <si>
    <t>Capacity</t>
  </si>
  <si>
    <t>56 holds across all depts</t>
  </si>
  <si>
    <t>Projected sales %</t>
  </si>
  <si>
    <t>projected at 70%</t>
  </si>
  <si>
    <t>Estimated attendance</t>
  </si>
  <si>
    <t xml:space="preserve">  % Attendance Full Price Tickets @ £12.50</t>
  </si>
  <si>
    <t>Difference is actual vs projected</t>
  </si>
  <si>
    <t>Full Price sales</t>
  </si>
  <si>
    <t>Full Price</t>
  </si>
  <si>
    <t xml:space="preserve">  % Attendance Conc. Tickets @ £10</t>
  </si>
  <si>
    <t>Conc ticket sales</t>
  </si>
  <si>
    <t>Conc ticket price</t>
  </si>
  <si>
    <t xml:space="preserve">  Expected Total Ticket Yield Per Perf </t>
  </si>
  <si>
    <t xml:space="preserve">  Average Ticket Yield (£)</t>
  </si>
  <si>
    <t>Number of performances</t>
  </si>
  <si>
    <t>4 singles, 5 double bills</t>
  </si>
  <si>
    <t xml:space="preserve">  Total Paid Attendance</t>
  </si>
  <si>
    <t>Gross Box Office</t>
  </si>
  <si>
    <t>Merchant fee / Spektrix</t>
  </si>
  <si>
    <t>VAT element</t>
  </si>
  <si>
    <t xml:space="preserve">Net Box Office Income </t>
  </si>
  <si>
    <t xml:space="preserve">Net Income </t>
  </si>
  <si>
    <t>Expenditure Show</t>
  </si>
  <si>
    <t>Expeniture Site</t>
  </si>
  <si>
    <t xml:space="preserve">Expenditure Event Management </t>
  </si>
  <si>
    <t xml:space="preserve">Spent in April </t>
  </si>
  <si>
    <t>Deficit/Surplus</t>
  </si>
  <si>
    <t xml:space="preserve">Existing box office </t>
  </si>
  <si>
    <t xml:space="preserve">Actual provided by finance </t>
  </si>
  <si>
    <t>Models</t>
  </si>
  <si>
    <t>Box Office Data</t>
  </si>
  <si>
    <t>Total Box Office</t>
  </si>
  <si>
    <t>Spektrix fee</t>
  </si>
  <si>
    <t>Merchant fee</t>
  </si>
  <si>
    <t xml:space="preserve">Total Box Office minus credit cards &amp; VAT Check </t>
  </si>
  <si>
    <t xml:space="preserve">Slung Low - Extension Schedule </t>
  </si>
  <si>
    <t xml:space="preserve">Schedule </t>
  </si>
  <si>
    <t xml:space="preserve">Week commencing </t>
  </si>
  <si>
    <t xml:space="preserve">Perf days </t>
  </si>
  <si>
    <t xml:space="preserve">No Perfs </t>
  </si>
  <si>
    <t xml:space="preserve">w/c 25 Sept </t>
  </si>
  <si>
    <t xml:space="preserve">Tues, Weds, Thurs, Fri </t>
  </si>
  <si>
    <t>w/c 2 Oct</t>
  </si>
  <si>
    <t>Tues x 2, Weds x 2, Thurs x 2, Fri x 2, Sat x 2</t>
  </si>
  <si>
    <t xml:space="preserve">w/c 9 Oct </t>
  </si>
  <si>
    <t xml:space="preserve">TOTAL PERFORMANCES </t>
  </si>
  <si>
    <t>&gt; 26-29 September</t>
  </si>
  <si>
    <t>&gt; 3-7 October</t>
  </si>
  <si>
    <t>&gt; 10-14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</si>
</sst>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,##0\)"/>
    <numFmt numFmtId="165" formatCode="_(&quot;£&quot;* #,##0.00_);_(&quot;£&quot;* \(#,##0.00\);_(&quot;£&quot;* &quot;-&quot;??_);_(@_)"/>
    <numFmt numFmtId="166" formatCode="#,##0_ ;[Red]\-#,##0\ "/>
    <numFmt numFmtId="167" formatCode="#,##0.0_ ;[Red]\-#,##0.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Geneva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0" fontId="4" fillId="0" borderId="0" applyNumberFormat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Fill="1"/>
    <xf numFmtId="0" fontId="7" fillId="0" borderId="0" xfId="3" applyFont="1"/>
    <xf numFmtId="165" fontId="0" fillId="0" borderId="0" xfId="0" applyNumberFormat="1"/>
    <xf numFmtId="165" fontId="11" fillId="0" borderId="0" xfId="0" applyNumberFormat="1" applyFont="1"/>
    <xf numFmtId="0" fontId="12" fillId="0" borderId="0" xfId="0" applyFont="1"/>
    <xf numFmtId="0" fontId="7" fillId="0" borderId="9" xfId="3" applyFont="1" applyBorder="1"/>
    <xf numFmtId="0" fontId="7" fillId="0" borderId="3" xfId="3" applyFont="1" applyBorder="1"/>
    <xf numFmtId="0" fontId="7" fillId="0" borderId="0" xfId="3" applyFont="1" applyBorder="1" applyAlignment="1">
      <alignment vertical="top"/>
    </xf>
    <xf numFmtId="0" fontId="7" fillId="0" borderId="10" xfId="3" applyFont="1" applyBorder="1"/>
    <xf numFmtId="0" fontId="7" fillId="0" borderId="4" xfId="3" applyFont="1" applyBorder="1"/>
    <xf numFmtId="0" fontId="7" fillId="0" borderId="5" xfId="3" applyFont="1" applyBorder="1"/>
    <xf numFmtId="0" fontId="7" fillId="0" borderId="1" xfId="3" applyFont="1" applyBorder="1"/>
    <xf numFmtId="43" fontId="7" fillId="0" borderId="1" xfId="3" applyNumberFormat="1" applyFont="1" applyBorder="1" applyAlignment="1">
      <alignment vertical="top"/>
    </xf>
    <xf numFmtId="0" fontId="13" fillId="0" borderId="0" xfId="0" applyFont="1"/>
    <xf numFmtId="43" fontId="7" fillId="0" borderId="0" xfId="3" applyNumberFormat="1" applyFont="1" applyBorder="1" applyAlignment="1">
      <alignment vertical="top"/>
    </xf>
    <xf numFmtId="166" fontId="8" fillId="0" borderId="6" xfId="3" applyNumberFormat="1" applyFont="1" applyBorder="1" applyAlignment="1">
      <alignment horizontal="center"/>
    </xf>
    <xf numFmtId="166" fontId="8" fillId="0" borderId="7" xfId="4" applyNumberFormat="1" applyFont="1" applyBorder="1" applyAlignment="1">
      <alignment horizontal="center"/>
    </xf>
    <xf numFmtId="166" fontId="8" fillId="0" borderId="9" xfId="3" applyNumberFormat="1" applyFont="1" applyBorder="1" applyAlignment="1">
      <alignment horizontal="right" vertical="top" wrapText="1"/>
    </xf>
    <xf numFmtId="166" fontId="8" fillId="0" borderId="7" xfId="3" applyNumberFormat="1" applyFont="1" applyFill="1" applyBorder="1" applyAlignment="1">
      <alignment horizontal="center" vertical="top" wrapText="1"/>
    </xf>
    <xf numFmtId="166" fontId="7" fillId="2" borderId="7" xfId="3" applyNumberFormat="1" applyFont="1" applyFill="1" applyBorder="1" applyAlignment="1">
      <alignment horizontal="center" wrapText="1"/>
    </xf>
    <xf numFmtId="166" fontId="7" fillId="0" borderId="7" xfId="3" applyNumberFormat="1" applyFont="1" applyBorder="1" applyAlignment="1">
      <alignment horizontal="center" wrapText="1"/>
    </xf>
    <xf numFmtId="166" fontId="9" fillId="0" borderId="9" xfId="4" applyNumberFormat="1" applyFont="1" applyBorder="1" applyAlignment="1"/>
    <xf numFmtId="166" fontId="7" fillId="0" borderId="7" xfId="4" applyNumberFormat="1" applyFont="1" applyBorder="1" applyAlignment="1"/>
    <xf numFmtId="166" fontId="10" fillId="3" borderId="9" xfId="4" applyNumberFormat="1" applyFont="1" applyFill="1" applyBorder="1" applyAlignment="1"/>
    <xf numFmtId="166" fontId="10" fillId="0" borderId="7" xfId="4" quotePrefix="1" applyNumberFormat="1" applyFont="1" applyBorder="1" applyAlignment="1">
      <alignment horizontal="right"/>
    </xf>
    <xf numFmtId="166" fontId="7" fillId="3" borderId="9" xfId="4" applyNumberFormat="1" applyFont="1" applyFill="1" applyBorder="1" applyAlignment="1"/>
    <xf numFmtId="166" fontId="10" fillId="4" borderId="7" xfId="4" quotePrefix="1" applyNumberFormat="1" applyFont="1" applyFill="1" applyBorder="1" applyAlignment="1">
      <alignment horizontal="right"/>
    </xf>
    <xf numFmtId="166" fontId="10" fillId="4" borderId="7" xfId="1" applyNumberFormat="1" applyFont="1" applyFill="1" applyBorder="1"/>
    <xf numFmtId="166" fontId="10" fillId="3" borderId="7" xfId="4" applyNumberFormat="1" applyFont="1" applyFill="1" applyBorder="1"/>
    <xf numFmtId="166" fontId="7" fillId="0" borderId="9" xfId="4" applyNumberFormat="1" applyFont="1" applyFill="1" applyBorder="1" applyAlignment="1"/>
    <xf numFmtId="166" fontId="10" fillId="0" borderId="7" xfId="2" applyNumberFormat="1" applyFont="1" applyFill="1" applyBorder="1"/>
    <xf numFmtId="166" fontId="10" fillId="4" borderId="7" xfId="4" applyNumberFormat="1" applyFont="1" applyFill="1" applyBorder="1"/>
    <xf numFmtId="166" fontId="10" fillId="0" borderId="7" xfId="4" applyNumberFormat="1" applyFont="1" applyFill="1" applyBorder="1"/>
    <xf numFmtId="166" fontId="7" fillId="3" borderId="9" xfId="4" applyNumberFormat="1" applyFont="1" applyFill="1" applyBorder="1" applyAlignment="1">
      <alignment horizontal="left"/>
    </xf>
    <xf numFmtId="166" fontId="8" fillId="3" borderId="7" xfId="4" applyNumberFormat="1" applyFont="1" applyFill="1" applyBorder="1" applyAlignment="1">
      <alignment horizontal="right"/>
    </xf>
    <xf numFmtId="166" fontId="8" fillId="3" borderId="7" xfId="4" applyNumberFormat="1" applyFont="1" applyFill="1" applyBorder="1"/>
    <xf numFmtId="166" fontId="7" fillId="0" borderId="9" xfId="4" applyNumberFormat="1" applyFont="1" applyFill="1" applyBorder="1"/>
    <xf numFmtId="166" fontId="7" fillId="4" borderId="7" xfId="4" applyNumberFormat="1" applyFont="1" applyFill="1" applyBorder="1"/>
    <xf numFmtId="166" fontId="7" fillId="0" borderId="9" xfId="4" applyNumberFormat="1" applyFont="1" applyBorder="1" applyAlignment="1"/>
    <xf numFmtId="166" fontId="7" fillId="0" borderId="7" xfId="4" applyNumberFormat="1" applyFont="1" applyBorder="1"/>
    <xf numFmtId="166" fontId="7" fillId="0" borderId="9" xfId="4" applyNumberFormat="1" applyFont="1" applyBorder="1" applyAlignment="1">
      <alignment horizontal="left"/>
    </xf>
    <xf numFmtId="166" fontId="7" fillId="2" borderId="7" xfId="4" applyNumberFormat="1" applyFont="1" applyFill="1" applyBorder="1"/>
    <xf numFmtId="166" fontId="7" fillId="0" borderId="1" xfId="4" applyNumberFormat="1" applyFont="1" applyFill="1" applyBorder="1"/>
    <xf numFmtId="166" fontId="8" fillId="0" borderId="2" xfId="4" applyNumberFormat="1" applyFont="1" applyFill="1" applyBorder="1"/>
    <xf numFmtId="166" fontId="8" fillId="0" borderId="6" xfId="4" applyNumberFormat="1" applyFont="1" applyFill="1" applyBorder="1"/>
    <xf numFmtId="166" fontId="8" fillId="0" borderId="9" xfId="4" applyNumberFormat="1" applyFont="1" applyFill="1" applyBorder="1"/>
    <xf numFmtId="166" fontId="7" fillId="0" borderId="7" xfId="4" applyNumberFormat="1" applyFont="1" applyFill="1" applyBorder="1"/>
    <xf numFmtId="166" fontId="7" fillId="0" borderId="11" xfId="4" applyNumberFormat="1" applyFont="1" applyFill="1" applyBorder="1"/>
    <xf numFmtId="166" fontId="8" fillId="0" borderId="11" xfId="4" applyNumberFormat="1" applyFont="1" applyFill="1" applyBorder="1"/>
    <xf numFmtId="166" fontId="8" fillId="0" borderId="8" xfId="4" applyNumberFormat="1" applyFont="1" applyFill="1" applyBorder="1"/>
    <xf numFmtId="166" fontId="7" fillId="0" borderId="2" xfId="4" applyNumberFormat="1" applyFont="1" applyFill="1" applyBorder="1"/>
    <xf numFmtId="166" fontId="7" fillId="0" borderId="6" xfId="4" applyNumberFormat="1" applyFont="1" applyFill="1" applyBorder="1"/>
    <xf numFmtId="166" fontId="8" fillId="0" borderId="7" xfId="4" applyNumberFormat="1" applyFont="1" applyFill="1" applyBorder="1"/>
    <xf numFmtId="166" fontId="7" fillId="0" borderId="9" xfId="4" applyNumberFormat="1" applyFont="1" applyBorder="1"/>
    <xf numFmtId="166" fontId="7" fillId="0" borderId="11" xfId="4" applyNumberFormat="1" applyFont="1" applyBorder="1"/>
    <xf numFmtId="166" fontId="7" fillId="0" borderId="8" xfId="4" applyNumberFormat="1" applyFont="1" applyBorder="1"/>
    <xf numFmtId="167" fontId="10" fillId="4" borderId="7" xfId="1" applyNumberFormat="1" applyFont="1" applyFill="1" applyBorder="1"/>
    <xf numFmtId="167" fontId="10" fillId="0" borderId="7" xfId="1" applyNumberFormat="1" applyFont="1" applyFill="1" applyBorder="1"/>
    <xf numFmtId="167" fontId="10" fillId="4" borderId="7" xfId="4" applyNumberFormat="1" applyFont="1" applyFill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Fill="1" applyBorder="1"/>
    <xf numFmtId="164" fontId="6" fillId="0" borderId="7" xfId="0" applyNumberFormat="1" applyFont="1" applyFill="1" applyBorder="1"/>
    <xf numFmtId="164" fontId="5" fillId="0" borderId="7" xfId="0" applyNumberFormat="1" applyFont="1" applyFill="1" applyBorder="1"/>
    <xf numFmtId="0" fontId="5" fillId="0" borderId="8" xfId="0" applyFont="1" applyBorder="1"/>
    <xf numFmtId="166" fontId="8" fillId="0" borderId="2" xfId="4" applyNumberFormat="1" applyFont="1" applyBorder="1" applyAlignment="1">
      <alignment horizontal="left" vertical="center"/>
    </xf>
    <xf numFmtId="166" fontId="8" fillId="0" borderId="9" xfId="4" applyNumberFormat="1" applyFont="1" applyBorder="1" applyAlignment="1">
      <alignment horizontal="left" vertical="center"/>
    </xf>
    <xf numFmtId="0" fontId="7" fillId="0" borderId="10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" xfId="2" builtinId="3"/>
    <cellStyle name="Geneva" xfId="5" xr:uid="{00000000-0005-0000-0000-000001000000}"/>
    <cellStyle name="Normal" xfId="0" builtinId="0"/>
    <cellStyle name="Normal 3" xfId="3" xr:uid="{00000000-0005-0000-0000-000003000000}"/>
    <cellStyle name="Normal_Showact2000" xfId="4" xr:uid="{00000000-0005-0000-0000-000004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tabSelected="1" topLeftCell="A11" zoomScale="70" zoomScaleNormal="70" workbookViewId="0" xr3:uid="{AEA406A1-0E4B-5B11-9CD5-51D6E497D94C}">
      <selection activeCell="H11" sqref="H11"/>
    </sheetView>
  </sheetViews>
  <sheetFormatPr defaultColWidth="8.85546875" defaultRowHeight="13.9"/>
  <cols>
    <col min="1" max="1" width="8.85546875" style="1"/>
    <col min="2" max="2" width="44.7109375" style="3" bestFit="1" customWidth="1"/>
    <col min="3" max="3" width="15.140625" style="3" customWidth="1"/>
    <col min="4" max="4" width="16.140625" style="3" customWidth="1"/>
    <col min="5" max="5" width="36" style="1" customWidth="1"/>
    <col min="6" max="16384" width="8.85546875" style="1"/>
  </cols>
  <sheetData>
    <row r="1" spans="2:5">
      <c r="C1" s="1"/>
      <c r="D1" s="1"/>
    </row>
    <row r="2" spans="2:5">
      <c r="B2" s="67"/>
      <c r="C2" s="17" t="s">
        <v>0</v>
      </c>
      <c r="D2" s="17" t="s">
        <v>0</v>
      </c>
      <c r="E2" s="61" t="s">
        <v>1</v>
      </c>
    </row>
    <row r="3" spans="2:5">
      <c r="B3" s="68"/>
      <c r="C3" s="18"/>
      <c r="D3" s="18"/>
      <c r="E3" s="62"/>
    </row>
    <row r="4" spans="2:5">
      <c r="B4" s="19" t="s">
        <v>2</v>
      </c>
      <c r="C4" s="20" t="s">
        <v>3</v>
      </c>
      <c r="D4" s="20" t="s">
        <v>4</v>
      </c>
      <c r="E4" s="62"/>
    </row>
    <row r="5" spans="2:5">
      <c r="B5" s="19" t="s">
        <v>5</v>
      </c>
      <c r="C5" s="20" t="s">
        <v>6</v>
      </c>
      <c r="D5" s="20" t="s">
        <v>6</v>
      </c>
      <c r="E5" s="62"/>
    </row>
    <row r="6" spans="2:5">
      <c r="B6" s="19" t="s">
        <v>7</v>
      </c>
      <c r="C6" s="21" t="s">
        <v>8</v>
      </c>
      <c r="D6" s="21" t="s">
        <v>8</v>
      </c>
      <c r="E6" s="62"/>
    </row>
    <row r="7" spans="2:5">
      <c r="B7" s="19" t="s">
        <v>9</v>
      </c>
      <c r="C7" s="21" t="s">
        <v>10</v>
      </c>
      <c r="D7" s="21" t="s">
        <v>11</v>
      </c>
      <c r="E7" s="62"/>
    </row>
    <row r="8" spans="2:5">
      <c r="B8" s="19" t="s">
        <v>12</v>
      </c>
      <c r="C8" s="21" t="s">
        <v>13</v>
      </c>
      <c r="D8" s="21" t="s">
        <v>14</v>
      </c>
      <c r="E8" s="62"/>
    </row>
    <row r="9" spans="2:5">
      <c r="B9" s="19" t="s">
        <v>15</v>
      </c>
      <c r="C9" s="22" t="s">
        <v>16</v>
      </c>
      <c r="D9" s="22" t="s">
        <v>17</v>
      </c>
      <c r="E9" s="62"/>
    </row>
    <row r="10" spans="2:5">
      <c r="B10" s="23" t="s">
        <v>18</v>
      </c>
      <c r="C10" s="24"/>
      <c r="D10" s="24"/>
      <c r="E10" s="62"/>
    </row>
    <row r="11" spans="2:5">
      <c r="B11" s="25" t="s">
        <v>19</v>
      </c>
      <c r="C11" s="26"/>
      <c r="D11" s="26"/>
      <c r="E11" s="62"/>
    </row>
    <row r="12" spans="2:5">
      <c r="B12" s="27" t="s">
        <v>20</v>
      </c>
      <c r="C12" s="28">
        <v>350</v>
      </c>
      <c r="D12" s="28">
        <v>394</v>
      </c>
      <c r="E12" s="62" t="s">
        <v>21</v>
      </c>
    </row>
    <row r="13" spans="2:5">
      <c r="B13" s="27" t="s">
        <v>22</v>
      </c>
      <c r="C13" s="29">
        <v>1</v>
      </c>
      <c r="D13" s="58">
        <v>0.7</v>
      </c>
      <c r="E13" s="62" t="s">
        <v>23</v>
      </c>
    </row>
    <row r="14" spans="2:5">
      <c r="B14" s="27" t="s">
        <v>24</v>
      </c>
      <c r="C14" s="30">
        <f>+C12*C13</f>
        <v>350</v>
      </c>
      <c r="D14" s="30">
        <f>+D12*D13</f>
        <v>275.79999999999995</v>
      </c>
      <c r="E14" s="62"/>
    </row>
    <row r="15" spans="2:5">
      <c r="B15" s="31" t="s">
        <v>25</v>
      </c>
      <c r="C15" s="58">
        <v>0.8</v>
      </c>
      <c r="D15" s="58">
        <v>0.7</v>
      </c>
      <c r="E15" s="62" t="s">
        <v>26</v>
      </c>
    </row>
    <row r="16" spans="2:5">
      <c r="B16" s="31" t="s">
        <v>27</v>
      </c>
      <c r="C16" s="32">
        <f>+C14*C15</f>
        <v>280</v>
      </c>
      <c r="D16" s="32">
        <f>+D14*D15</f>
        <v>193.05999999999995</v>
      </c>
      <c r="E16" s="62"/>
    </row>
    <row r="17" spans="2:5">
      <c r="B17" s="31" t="s">
        <v>28</v>
      </c>
      <c r="C17" s="60">
        <v>12.5</v>
      </c>
      <c r="D17" s="60">
        <v>12.5</v>
      </c>
      <c r="E17" s="62"/>
    </row>
    <row r="18" spans="2:5">
      <c r="B18" s="31" t="s">
        <v>29</v>
      </c>
      <c r="C18" s="59">
        <v>0.2</v>
      </c>
      <c r="D18" s="59">
        <v>0.3</v>
      </c>
      <c r="E18" s="62"/>
    </row>
    <row r="19" spans="2:5">
      <c r="B19" s="31" t="s">
        <v>30</v>
      </c>
      <c r="C19" s="34">
        <f>+C18*C14</f>
        <v>70</v>
      </c>
      <c r="D19" s="34">
        <f>+D18*D14</f>
        <v>82.739999999999981</v>
      </c>
      <c r="E19" s="62"/>
    </row>
    <row r="20" spans="2:5">
      <c r="B20" s="31" t="s">
        <v>31</v>
      </c>
      <c r="C20" s="33">
        <v>10</v>
      </c>
      <c r="D20" s="33">
        <v>10</v>
      </c>
      <c r="E20" s="62"/>
    </row>
    <row r="21" spans="2:5">
      <c r="B21" s="35" t="s">
        <v>32</v>
      </c>
      <c r="C21" s="36">
        <f>+(C19*C20)+(C16*C17)</f>
        <v>4200</v>
      </c>
      <c r="D21" s="36">
        <f>+(D19*D20)+(D16*D17)</f>
        <v>3240.6499999999987</v>
      </c>
      <c r="E21" s="62"/>
    </row>
    <row r="22" spans="2:5">
      <c r="B22" s="27" t="s">
        <v>33</v>
      </c>
      <c r="C22" s="37">
        <f>+IF(C21=0,0,C21/(C16+C19))</f>
        <v>12</v>
      </c>
      <c r="D22" s="37">
        <f>+IF(D21=0,0,D21/(D16+D19))</f>
        <v>11.749999999999996</v>
      </c>
      <c r="E22" s="62"/>
    </row>
    <row r="23" spans="2:5">
      <c r="B23" s="38" t="s">
        <v>34</v>
      </c>
      <c r="C23" s="39">
        <v>5</v>
      </c>
      <c r="D23" s="39">
        <v>14</v>
      </c>
      <c r="E23" s="62" t="s">
        <v>35</v>
      </c>
    </row>
    <row r="24" spans="2:5">
      <c r="B24" s="40" t="s">
        <v>36</v>
      </c>
      <c r="C24" s="41">
        <f>C23*(C19+C16)</f>
        <v>1750</v>
      </c>
      <c r="D24" s="41">
        <f>D23*(D19+D16)</f>
        <v>3861.1999999999994</v>
      </c>
      <c r="E24" s="62"/>
    </row>
    <row r="25" spans="2:5">
      <c r="B25" s="40"/>
      <c r="C25" s="41"/>
      <c r="D25" s="41"/>
      <c r="E25" s="62"/>
    </row>
    <row r="26" spans="2:5">
      <c r="B26" s="42" t="s">
        <v>37</v>
      </c>
      <c r="C26" s="43">
        <f>C24*C22</f>
        <v>21000</v>
      </c>
      <c r="D26" s="43">
        <f>D24*D22</f>
        <v>45369.099999999977</v>
      </c>
      <c r="E26" s="62"/>
    </row>
    <row r="27" spans="2:5">
      <c r="B27" s="42" t="s">
        <v>38</v>
      </c>
      <c r="C27" s="41"/>
      <c r="D27" s="41"/>
      <c r="E27" s="62"/>
    </row>
    <row r="28" spans="2:5">
      <c r="B28" s="42" t="s">
        <v>39</v>
      </c>
      <c r="C28" s="41">
        <f>-C26/6</f>
        <v>-3500</v>
      </c>
      <c r="D28" s="41">
        <f>-D26/6</f>
        <v>-7561.5166666666628</v>
      </c>
      <c r="E28" s="62"/>
    </row>
    <row r="29" spans="2:5" s="2" customFormat="1">
      <c r="B29" s="44" t="s">
        <v>40</v>
      </c>
      <c r="C29" s="44">
        <f>+C26+C27+C28</f>
        <v>17500</v>
      </c>
      <c r="D29" s="44">
        <f>+D26+D27+D28</f>
        <v>37807.583333333314</v>
      </c>
      <c r="E29" s="63"/>
    </row>
    <row r="30" spans="2:5" s="2" customFormat="1">
      <c r="B30" s="45"/>
      <c r="C30" s="45"/>
      <c r="D30" s="46"/>
      <c r="E30" s="63"/>
    </row>
    <row r="31" spans="2:5" s="2" customFormat="1">
      <c r="B31" s="38" t="s">
        <v>41</v>
      </c>
      <c r="C31" s="47"/>
      <c r="D31" s="48">
        <f>D29</f>
        <v>37807.583333333314</v>
      </c>
      <c r="E31" s="63"/>
    </row>
    <row r="32" spans="2:5" s="2" customFormat="1">
      <c r="B32" s="38" t="s">
        <v>42</v>
      </c>
      <c r="C32" s="47"/>
      <c r="D32" s="48">
        <f>SUM(29140)</f>
        <v>29140</v>
      </c>
      <c r="E32" s="63"/>
    </row>
    <row r="33" spans="2:16" s="2" customFormat="1">
      <c r="B33" s="38" t="s">
        <v>43</v>
      </c>
      <c r="C33" s="47"/>
      <c r="D33" s="48">
        <v>19210</v>
      </c>
      <c r="E33" s="63"/>
    </row>
    <row r="34" spans="2:16" s="2" customFormat="1">
      <c r="B34" s="38" t="s">
        <v>44</v>
      </c>
      <c r="C34" s="47"/>
      <c r="D34" s="48">
        <v>2000</v>
      </c>
      <c r="E34" s="63" t="s">
        <v>45</v>
      </c>
    </row>
    <row r="35" spans="2:16" s="2" customFormat="1">
      <c r="B35" s="49" t="s">
        <v>46</v>
      </c>
      <c r="C35" s="50"/>
      <c r="D35" s="51">
        <f>SUM(D31-D32-D33-D34)</f>
        <v>-12542.416666666686</v>
      </c>
      <c r="E35" s="64"/>
    </row>
    <row r="36" spans="2:16" s="2" customFormat="1">
      <c r="B36" s="52" t="s">
        <v>47</v>
      </c>
      <c r="C36" s="52"/>
      <c r="D36" s="53">
        <v>17144</v>
      </c>
      <c r="E36" s="64"/>
    </row>
    <row r="37" spans="2:16" s="2" customFormat="1">
      <c r="B37" s="50" t="s">
        <v>46</v>
      </c>
      <c r="C37" s="50"/>
      <c r="D37" s="51">
        <f>SUM(D35+D36)</f>
        <v>4601.5833333333139</v>
      </c>
      <c r="E37" s="65" t="s">
        <v>48</v>
      </c>
    </row>
    <row r="38" spans="2:16" s="2" customFormat="1">
      <c r="B38" s="47"/>
      <c r="C38" s="47"/>
      <c r="D38" s="54"/>
      <c r="E38" s="64"/>
    </row>
    <row r="39" spans="2:16" s="2" customFormat="1">
      <c r="B39" s="38" t="s">
        <v>49</v>
      </c>
      <c r="C39" s="38"/>
      <c r="D39" s="48"/>
      <c r="E39" s="63"/>
    </row>
    <row r="40" spans="2:16">
      <c r="B40" s="55" t="s">
        <v>50</v>
      </c>
      <c r="C40" s="55"/>
      <c r="D40" s="41"/>
      <c r="E40" s="62"/>
    </row>
    <row r="41" spans="2:16">
      <c r="B41" s="55" t="s">
        <v>51</v>
      </c>
      <c r="C41" s="55">
        <f>C26</f>
        <v>21000</v>
      </c>
      <c r="D41" s="41">
        <f>D26</f>
        <v>45369.099999999977</v>
      </c>
      <c r="E41" s="62"/>
    </row>
    <row r="42" spans="2:16">
      <c r="B42" s="55" t="s">
        <v>52</v>
      </c>
      <c r="C42" s="55">
        <f>-C41*0.013</f>
        <v>-273</v>
      </c>
      <c r="D42" s="41">
        <f>-D41*0.013</f>
        <v>-589.7982999999997</v>
      </c>
      <c r="E42" s="62"/>
    </row>
    <row r="43" spans="2:16">
      <c r="B43" s="55" t="s">
        <v>53</v>
      </c>
      <c r="C43" s="55">
        <f>-C41*0.019</f>
        <v>-399</v>
      </c>
      <c r="D43" s="41">
        <f t="shared" ref="D43" si="0">-D41*0.019</f>
        <v>-862.01289999999949</v>
      </c>
      <c r="E43" s="62"/>
    </row>
    <row r="44" spans="2:16">
      <c r="B44" s="55" t="s">
        <v>54</v>
      </c>
      <c r="C44" s="55">
        <f>+C41+C42+C43+C28</f>
        <v>16828</v>
      </c>
      <c r="D44" s="41">
        <f>+D41+D42+D43+D28</f>
        <v>36355.77213333331</v>
      </c>
      <c r="E44" s="62"/>
    </row>
    <row r="45" spans="2:16">
      <c r="B45" s="56"/>
      <c r="C45" s="56"/>
      <c r="D45" s="57"/>
      <c r="E45" s="66"/>
    </row>
    <row r="47" spans="2:16" ht="15.6">
      <c r="M47"/>
      <c r="N47" s="4"/>
      <c r="O47" s="5"/>
      <c r="P47"/>
    </row>
    <row r="48" spans="2:16" ht="15.6">
      <c r="M48" s="6"/>
      <c r="N48" s="4"/>
      <c r="O48" s="5"/>
      <c r="P48"/>
    </row>
  </sheetData>
  <mergeCells count="1">
    <mergeCell ref="B2:B3"/>
  </mergeCells>
  <conditionalFormatting sqref="L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zoomScale="130" zoomScaleNormal="130" workbookViewId="0" xr3:uid="{958C4451-9541-5A59-BF78-D2F731DF1C81}">
      <selection activeCell="B13" sqref="B13"/>
    </sheetView>
  </sheetViews>
  <sheetFormatPr defaultColWidth="8.85546875" defaultRowHeight="13.9"/>
  <cols>
    <col min="1" max="1" width="25.85546875" style="1" bestFit="1" customWidth="1"/>
    <col min="2" max="2" width="43.28515625" style="1" bestFit="1" customWidth="1"/>
    <col min="3" max="3" width="9.28515625" style="1" bestFit="1" customWidth="1"/>
    <col min="4" max="16384" width="8.85546875" style="1"/>
  </cols>
  <sheetData>
    <row r="1" spans="1:3">
      <c r="A1" s="72" t="s">
        <v>55</v>
      </c>
      <c r="B1" s="72"/>
      <c r="C1" s="72"/>
    </row>
    <row r="3" spans="1:3">
      <c r="A3" s="69" t="s">
        <v>56</v>
      </c>
      <c r="B3" s="70"/>
      <c r="C3" s="71"/>
    </row>
    <row r="4" spans="1:3">
      <c r="A4" s="13" t="s">
        <v>57</v>
      </c>
      <c r="B4" s="14" t="s">
        <v>58</v>
      </c>
      <c r="C4" s="13" t="s">
        <v>59</v>
      </c>
    </row>
    <row r="5" spans="1:3">
      <c r="A5" s="7" t="s">
        <v>60</v>
      </c>
      <c r="B5" s="16" t="s">
        <v>61</v>
      </c>
      <c r="C5" s="8">
        <v>4</v>
      </c>
    </row>
    <row r="6" spans="1:3">
      <c r="A6" s="7" t="s">
        <v>62</v>
      </c>
      <c r="B6" s="9" t="s">
        <v>63</v>
      </c>
      <c r="C6" s="8">
        <v>10</v>
      </c>
    </row>
    <row r="7" spans="1:3">
      <c r="A7" s="7" t="s">
        <v>64</v>
      </c>
      <c r="B7" s="9" t="s">
        <v>63</v>
      </c>
      <c r="C7" s="8">
        <v>10</v>
      </c>
    </row>
    <row r="8" spans="1:3">
      <c r="A8" s="10" t="s">
        <v>65</v>
      </c>
      <c r="B8" s="11"/>
      <c r="C8" s="12">
        <f>SUM(C5:C7)</f>
        <v>24</v>
      </c>
    </row>
    <row r="12" spans="1:3">
      <c r="A12" s="15" t="s">
        <v>66</v>
      </c>
    </row>
    <row r="13" spans="1:3">
      <c r="A13" s="15" t="s">
        <v>67</v>
      </c>
    </row>
    <row r="14" spans="1:3">
      <c r="A14" s="15" t="s">
        <v>68</v>
      </c>
    </row>
  </sheetData>
  <mergeCells count="2">
    <mergeCell ref="A3:C3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365FF-F384-4066-8ACC-E1360697D04D}"/>
</file>

<file path=customXml/itemProps2.xml><?xml version="1.0" encoding="utf-8"?>
<ds:datastoreItem xmlns:ds="http://schemas.openxmlformats.org/officeDocument/2006/customXml" ds:itemID="{6A8BDF06-F462-4665-AF28-C010F3C91E48}"/>
</file>

<file path=customXml/itemProps3.xml><?xml version="1.0" encoding="utf-8"?>
<ds:datastoreItem xmlns:ds="http://schemas.openxmlformats.org/officeDocument/2006/customXml" ds:itemID="{7E553B8F-6350-4CC5-80F9-2653D815B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Lindsey Alvis</cp:lastModifiedBy>
  <cp:revision/>
  <dcterms:created xsi:type="dcterms:W3CDTF">2017-01-04T11:54:40Z</dcterms:created>
  <dcterms:modified xsi:type="dcterms:W3CDTF">2017-12-05T15:41:12Z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