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730" windowHeight="11760" tabRatio="817" activeTab="1"/>
  </bookViews>
  <sheets>
    <sheet name="Overall Budget" sheetId="15" r:id="rId1"/>
    <sheet name="Overall Spend" sheetId="14" r:id="rId2"/>
    <sheet name="General Expenses" sheetId="2" r:id="rId3"/>
    <sheet name="MF Expenses" sheetId="5" r:id="rId4"/>
    <sheet name="Halloween Expenses" sheetId="7" r:id="rId5"/>
  </sheets>
  <externalReferences>
    <externalReference r:id="rId6"/>
  </externalReferenc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5" l="1"/>
  <c r="D11" i="14" s="1"/>
  <c r="D16" i="15"/>
  <c r="D21" i="15"/>
  <c r="D26" i="15"/>
  <c r="D31" i="15"/>
  <c r="D36" i="15"/>
  <c r="D41" i="15"/>
  <c r="H11" i="15"/>
  <c r="D55" i="15"/>
  <c r="H13" i="15" s="1"/>
  <c r="D56" i="15"/>
  <c r="H14" i="15" s="1"/>
  <c r="H17" i="15"/>
  <c r="G72" i="15" s="1"/>
  <c r="H18" i="15"/>
  <c r="H19" i="15"/>
  <c r="G80" i="15" s="1"/>
  <c r="H21" i="15"/>
  <c r="H22" i="15"/>
  <c r="H23" i="15"/>
  <c r="H24" i="15"/>
  <c r="H36" i="15"/>
  <c r="D60" i="15"/>
  <c r="D77" i="15" s="1"/>
  <c r="D86" i="15" s="1"/>
  <c r="D63" i="15"/>
  <c r="D66" i="15"/>
  <c r="D53" i="15"/>
  <c r="D54" i="15"/>
  <c r="D57" i="15"/>
  <c r="D58" i="15"/>
  <c r="D78" i="15"/>
  <c r="G51" i="15"/>
  <c r="G52" i="15"/>
  <c r="G53" i="15"/>
  <c r="G54" i="15"/>
  <c r="G56" i="15"/>
  <c r="G57" i="15"/>
  <c r="G58" i="15"/>
  <c r="G59" i="15"/>
  <c r="G60" i="15"/>
  <c r="G61" i="15"/>
  <c r="G62" i="15"/>
  <c r="G65" i="15"/>
  <c r="G66" i="15"/>
  <c r="G67" i="15"/>
  <c r="G70" i="15"/>
  <c r="G71" i="15"/>
  <c r="G73" i="15"/>
  <c r="G76" i="15"/>
  <c r="G77" i="15"/>
  <c r="G83" i="15"/>
  <c r="D85" i="15"/>
  <c r="D80" i="15"/>
  <c r="D26" i="14"/>
  <c r="G11" i="14"/>
  <c r="G16" i="14"/>
  <c r="C19" i="5"/>
  <c r="C33" i="5"/>
  <c r="N24" i="5"/>
  <c r="N23" i="5"/>
  <c r="M24" i="5"/>
  <c r="C34" i="5"/>
  <c r="C28" i="5"/>
  <c r="N19" i="7"/>
  <c r="O19" i="7"/>
  <c r="M18" i="7"/>
  <c r="N18" i="7"/>
  <c r="O18" i="7" s="1"/>
  <c r="M17" i="7"/>
  <c r="N17" i="7"/>
  <c r="O17" i="7"/>
  <c r="M16" i="7"/>
  <c r="O16" i="7" s="1"/>
  <c r="N16" i="7"/>
  <c r="M15" i="7"/>
  <c r="O15" i="7" s="1"/>
  <c r="N15" i="7"/>
  <c r="M14" i="7"/>
  <c r="N14" i="7"/>
  <c r="O14" i="7" s="1"/>
  <c r="M13" i="7"/>
  <c r="M7" i="7" s="1"/>
  <c r="N13" i="7"/>
  <c r="O13" i="7"/>
  <c r="C32" i="5"/>
  <c r="C29" i="5"/>
  <c r="C27" i="5"/>
  <c r="M26" i="5"/>
  <c r="N26" i="5"/>
  <c r="O25" i="5" s="1"/>
  <c r="M25" i="5"/>
  <c r="N25" i="5"/>
  <c r="O24" i="5"/>
  <c r="M23" i="5"/>
  <c r="O23" i="5"/>
  <c r="M22" i="5"/>
  <c r="O22" i="5" s="1"/>
  <c r="N22" i="5"/>
  <c r="M21" i="5"/>
  <c r="N21" i="5"/>
  <c r="O21" i="5"/>
  <c r="M20" i="5"/>
  <c r="N20" i="5"/>
  <c r="O20" i="5" s="1"/>
  <c r="C20" i="5"/>
  <c r="N14" i="5" s="1"/>
  <c r="M19" i="5"/>
  <c r="N19" i="5"/>
  <c r="O19" i="5" s="1"/>
  <c r="M18" i="5"/>
  <c r="O18" i="5" s="1"/>
  <c r="N18" i="5"/>
  <c r="M17" i="5"/>
  <c r="O17" i="5" s="1"/>
  <c r="N17" i="5"/>
  <c r="M16" i="5"/>
  <c r="N16" i="5"/>
  <c r="O16" i="5"/>
  <c r="M15" i="5"/>
  <c r="N15" i="5"/>
  <c r="O15" i="5" s="1"/>
  <c r="M14" i="5"/>
  <c r="O14" i="5" s="1"/>
  <c r="M13" i="5"/>
  <c r="O13" i="5" s="1"/>
  <c r="N13" i="5"/>
  <c r="M7" i="5"/>
  <c r="M26" i="2"/>
  <c r="N26" i="2"/>
  <c r="O26" i="2" s="1"/>
  <c r="M25" i="2"/>
  <c r="O25" i="2" s="1"/>
  <c r="N25" i="2"/>
  <c r="M24" i="2"/>
  <c r="N24" i="2"/>
  <c r="O24" i="2" s="1"/>
  <c r="M23" i="2"/>
  <c r="N23" i="2"/>
  <c r="O23" i="2"/>
  <c r="M22" i="2"/>
  <c r="C8" i="2"/>
  <c r="N22" i="2" s="1"/>
  <c r="O22" i="2" s="1"/>
  <c r="M21" i="2"/>
  <c r="N21" i="2"/>
  <c r="O21" i="2" s="1"/>
  <c r="M20" i="2"/>
  <c r="O20" i="2" s="1"/>
  <c r="N20" i="2"/>
  <c r="M19" i="2"/>
  <c r="N19" i="2"/>
  <c r="O19" i="2" s="1"/>
  <c r="M18" i="2"/>
  <c r="N18" i="2"/>
  <c r="O18" i="2"/>
  <c r="M17" i="2"/>
  <c r="N17" i="2"/>
  <c r="O17" i="2" s="1"/>
  <c r="M16" i="2"/>
  <c r="O16" i="2" s="1"/>
  <c r="N16" i="2"/>
  <c r="M15" i="2"/>
  <c r="N15" i="2"/>
  <c r="O15" i="2" s="1"/>
  <c r="M14" i="2"/>
  <c r="N14" i="2"/>
  <c r="O14" i="2"/>
  <c r="M13" i="2"/>
  <c r="N13" i="2"/>
  <c r="L7" i="2" s="1"/>
  <c r="G26" i="14" s="1"/>
  <c r="M7" i="2"/>
  <c r="N7" i="2" l="1"/>
  <c r="L7" i="5"/>
  <c r="H26" i="15"/>
  <c r="H33" i="15" s="1"/>
  <c r="G55" i="15"/>
  <c r="G85" i="15" s="1"/>
  <c r="O13" i="2"/>
  <c r="D76" i="15"/>
  <c r="D81" i="15" s="1"/>
  <c r="G86" i="15"/>
  <c r="L7" i="7"/>
  <c r="D21" i="14" s="1"/>
  <c r="G21" i="14" l="1"/>
  <c r="D30" i="14" s="1"/>
  <c r="N7" i="5"/>
  <c r="N7" i="7"/>
</calcChain>
</file>

<file path=xl/sharedStrings.xml><?xml version="1.0" encoding="utf-8"?>
<sst xmlns="http://schemas.openxmlformats.org/spreadsheetml/2006/main" count="406" uniqueCount="193">
  <si>
    <t>Middle Child - 2015/16 - Bid 1</t>
  </si>
  <si>
    <t>Budget Outline</t>
  </si>
  <si>
    <t>Expenditure</t>
  </si>
  <si>
    <t>Category</t>
  </si>
  <si>
    <t>Total</t>
  </si>
  <si>
    <t>2)</t>
  </si>
  <si>
    <t>Never Mind The Pub Quiz - Fruit (Sheet 2)</t>
  </si>
  <si>
    <t>Development Costs</t>
  </si>
  <si>
    <t>Description</t>
  </si>
  <si>
    <t>Costs</t>
  </si>
  <si>
    <t>Artistic Spending</t>
  </si>
  <si>
    <t>Draft 1, Ten Storey Love Song</t>
  </si>
  <si>
    <t>Underlying Rights Confirmation - TSLS</t>
  </si>
  <si>
    <t>3)</t>
  </si>
  <si>
    <t>A Play In A Pub (Sheet 3)</t>
  </si>
  <si>
    <t>Writer Royalty (Weekend Rockstars)</t>
  </si>
  <si>
    <t>Writer Royalty (Mercury Fur)</t>
  </si>
  <si>
    <t>Developing Your Organisation</t>
  </si>
  <si>
    <t>Middle Child Staff Development Fees</t>
  </si>
  <si>
    <t>Spotlight Membership Charge</t>
  </si>
  <si>
    <t>Marketing &amp; Developing Audiences</t>
  </si>
  <si>
    <t>Marketing Manager, 3 Days Per Week</t>
  </si>
  <si>
    <t>4)</t>
  </si>
  <si>
    <t>Halloween Murder Mystery (Sheet 4)</t>
  </si>
  <si>
    <t>Overheads</t>
  </si>
  <si>
    <t>Goodwin - Rehearsal Room Utility Bills</t>
  </si>
  <si>
    <t>Assets</t>
  </si>
  <si>
    <t>Capital Purchases - PA System</t>
  </si>
  <si>
    <t>Equipment Insurance</t>
  </si>
  <si>
    <t>Travel &amp; Petty Cash</t>
  </si>
  <si>
    <t>Accounting</t>
  </si>
  <si>
    <t>5)</t>
  </si>
  <si>
    <t>Weekend Rockstars @ Soho (Sheet 5)</t>
  </si>
  <si>
    <t>Feedback Cards/Logo</t>
  </si>
  <si>
    <t>Self Funded programme</t>
  </si>
  <si>
    <t>6)</t>
  </si>
  <si>
    <t>Aladdin (Sheet 6)</t>
  </si>
  <si>
    <t>Contingency</t>
  </si>
  <si>
    <t>7)</t>
  </si>
  <si>
    <t>City Til We Die R&amp;D (Sheet 7)</t>
  </si>
  <si>
    <t>Contingency @ 3%</t>
  </si>
  <si>
    <t>Other</t>
  </si>
  <si>
    <t>Final Contingency</t>
  </si>
  <si>
    <t>8)</t>
  </si>
  <si>
    <t>Mercury Fur (Sheet 8)</t>
  </si>
  <si>
    <t>Total Incoming</t>
  </si>
  <si>
    <t>Total Expenditure</t>
  </si>
  <si>
    <t>Source</t>
  </si>
  <si>
    <t>Categories</t>
  </si>
  <si>
    <t>Earned Income</t>
  </si>
  <si>
    <t>Actor Fees - Multiple</t>
  </si>
  <si>
    <t>Hull Truck Halloween - Confirmed</t>
  </si>
  <si>
    <t>Musician Fees - Multiple</t>
  </si>
  <si>
    <t>Ticket Sales - Aladdin</t>
  </si>
  <si>
    <t>Production Team Fees - Multiple</t>
  </si>
  <si>
    <t>School Bookings - Aladdin</t>
  </si>
  <si>
    <t>Writer Fees - Multiple</t>
  </si>
  <si>
    <t>Ticket Sales - Rockstars @ Soho</t>
  </si>
  <si>
    <t>Writer Rights + Royalties</t>
  </si>
  <si>
    <t>Ticket Sales - Mercury Fur</t>
  </si>
  <si>
    <t>Set, Props, Costume - Multiple</t>
  </si>
  <si>
    <t>School Bookings - Mercury Fur</t>
  </si>
  <si>
    <t>Venue Hire - Multiple</t>
  </si>
  <si>
    <t>Bar Takings - Mercury Fur</t>
  </si>
  <si>
    <t>Sound Equipment Hire - Multiple</t>
  </si>
  <si>
    <t>Lighting Equipment Hire - Multiple</t>
  </si>
  <si>
    <t>Not Quite A Pub Quiz - Fruit</t>
  </si>
  <si>
    <t>Accommodation - Multiple</t>
  </si>
  <si>
    <t>Production Administration - Multiple</t>
  </si>
  <si>
    <t>Local Authority Funding</t>
  </si>
  <si>
    <t>Travel - Multiple</t>
  </si>
  <si>
    <t>Hull City Council</t>
  </si>
  <si>
    <t>Developing your Organisation</t>
  </si>
  <si>
    <t>Other Public Funding</t>
  </si>
  <si>
    <t>Middle Child Permenant Staff - Management Fees</t>
  </si>
  <si>
    <t>Culture Company Support</t>
  </si>
  <si>
    <t>Management Staff Travel Expenses</t>
  </si>
  <si>
    <t>Spotlight Membership Fee</t>
  </si>
  <si>
    <t>Private Income</t>
  </si>
  <si>
    <t>Arts Council</t>
  </si>
  <si>
    <t>Show Marketing - Print/Online/Digital - Multiple</t>
  </si>
  <si>
    <t>HEY Smile - Aladdin Funding - Confirmed</t>
  </si>
  <si>
    <t>Logo Design &amp; Feedback Cards</t>
  </si>
  <si>
    <t>Fruit - Aladdin - Marketing Costs</t>
  </si>
  <si>
    <t>Marketing Manager Fee - 3 Days a week</t>
  </si>
  <si>
    <t>Programme Sponsorship</t>
  </si>
  <si>
    <t>Season Brochure Production</t>
  </si>
  <si>
    <t>Confirmed vs Pending</t>
  </si>
  <si>
    <t>Total Confirmed excluding Arts Council</t>
  </si>
  <si>
    <t>Rehearsal Room Utility Bills</t>
  </si>
  <si>
    <t>Total Confirmed including Arts Council</t>
  </si>
  <si>
    <t>Total Pending</t>
  </si>
  <si>
    <t>Total Arts Council</t>
  </si>
  <si>
    <t>Capital Purchase - PA System</t>
  </si>
  <si>
    <t>Total Match Funding</t>
  </si>
  <si>
    <t>Total Individually</t>
  </si>
  <si>
    <t>Total of ACE Categories</t>
  </si>
  <si>
    <t>Number</t>
  </si>
  <si>
    <t>Amount</t>
  </si>
  <si>
    <t>Paid By</t>
  </si>
  <si>
    <t>Date Made</t>
  </si>
  <si>
    <t>Budget Area</t>
  </si>
  <si>
    <t>Receipt?</t>
  </si>
  <si>
    <t>Refunded?</t>
  </si>
  <si>
    <t>PS</t>
  </si>
  <si>
    <t>One Year Membership Fee</t>
  </si>
  <si>
    <t>Yes</t>
  </si>
  <si>
    <t>MA</t>
  </si>
  <si>
    <t>Petrol/Parking - Audience Finder Workshop</t>
  </si>
  <si>
    <t>Yes - invoice</t>
  </si>
  <si>
    <t>Total Spend</t>
  </si>
  <si>
    <t>Total Budget</t>
  </si>
  <si>
    <t>Balance</t>
  </si>
  <si>
    <t>MC</t>
  </si>
  <si>
    <t>Advance, LB - See Contract</t>
  </si>
  <si>
    <t>N/A</t>
  </si>
  <si>
    <t>X32 Behringer Sound Desk + Flight Case - DV247</t>
  </si>
  <si>
    <t>Yes - email</t>
  </si>
  <si>
    <t>1 Year Equipment/Employer/Public Liability Insurance</t>
  </si>
  <si>
    <t>Departmental Budgets</t>
  </si>
  <si>
    <t>Total Spent</t>
  </si>
  <si>
    <t>Remaining Budget</t>
  </si>
  <si>
    <t>Mercury Fur</t>
  </si>
  <si>
    <t>Marketing</t>
  </si>
  <si>
    <t>Venue Hire</t>
  </si>
  <si>
    <t>Sound</t>
  </si>
  <si>
    <t>Lighting</t>
  </si>
  <si>
    <t>Set/Props</t>
  </si>
  <si>
    <t>Costume</t>
  </si>
  <si>
    <t>Workshop Travel</t>
  </si>
  <si>
    <t>Script Printing</t>
  </si>
  <si>
    <t>Bar Costs</t>
  </si>
  <si>
    <t>Middle Child</t>
  </si>
  <si>
    <t>Poster Design - Natalie Harney</t>
  </si>
  <si>
    <t>Poster/Flyer Print - Pixel to Print</t>
  </si>
  <si>
    <t>Payment 1/3 to NY for purchases - £200</t>
  </si>
  <si>
    <t>No</t>
  </si>
  <si>
    <t>3a</t>
  </si>
  <si>
    <t>3b</t>
  </si>
  <si>
    <t>3c</t>
  </si>
  <si>
    <t>TEN Notice x 2 - Hull CC - 10103/000062</t>
  </si>
  <si>
    <t>Paypal Card Reader</t>
  </si>
  <si>
    <t xml:space="preserve">Flyer </t>
  </si>
  <si>
    <t>Scripts Printed with Goodwin</t>
  </si>
  <si>
    <t>Actor Fees + Subs</t>
  </si>
  <si>
    <t>Hotel for PR - 15/10/15</t>
  </si>
  <si>
    <t>Production Team Fees</t>
  </si>
  <si>
    <t>Payment 2/3 to NY for purchases - £200</t>
  </si>
  <si>
    <t>9a</t>
  </si>
  <si>
    <t>9b</t>
  </si>
  <si>
    <t>9c</t>
  </si>
  <si>
    <t>Week 2 Payroll - PS, MA, NY</t>
  </si>
  <si>
    <t>Butterfly Stamp for Welly Discount</t>
  </si>
  <si>
    <t>Accommodation</t>
  </si>
  <si>
    <t>Payment 3/3 to NY for purchases - £200</t>
  </si>
  <si>
    <t>13a</t>
  </si>
  <si>
    <t>13b</t>
  </si>
  <si>
    <t>Travel</t>
  </si>
  <si>
    <t>13c</t>
  </si>
  <si>
    <t>Payment to Hull CC - cash withdrawal</t>
  </si>
  <si>
    <t>Yes - receipt</t>
  </si>
  <si>
    <t>25/09/15 &amp; 26/09/15</t>
  </si>
  <si>
    <t>Paypal Test - £1.00 out in and £0.97 in</t>
  </si>
  <si>
    <t>Yes - hard copy</t>
  </si>
  <si>
    <t>JP</t>
  </si>
  <si>
    <t>Flyer Distribution</t>
  </si>
  <si>
    <t>Trailer Production - SJM</t>
  </si>
  <si>
    <t>Rehearsal Photos</t>
  </si>
  <si>
    <t>ST</t>
  </si>
  <si>
    <t>Parking Tickets</t>
  </si>
  <si>
    <t>Halloween Murder Mystery</t>
  </si>
  <si>
    <t>Props</t>
  </si>
  <si>
    <t>Date</t>
  </si>
  <si>
    <t>Design Fee - Sam Beet</t>
  </si>
  <si>
    <t>Print Costs - Pixel2Print</t>
  </si>
  <si>
    <t>Actor Fees</t>
  </si>
  <si>
    <t>Writer Fees</t>
  </si>
  <si>
    <t>Aladdin</t>
  </si>
  <si>
    <t>Payment 1/4 - JP</t>
  </si>
  <si>
    <t>Van hire</t>
  </si>
  <si>
    <t>Week 2 Payrol - MA, PS, NY, EB, JF, TJ</t>
  </si>
  <si>
    <t>Tesco Shop</t>
  </si>
  <si>
    <t>Week 2 Payroll - LJ, MM, NT, LN, JS, EC, JMC</t>
  </si>
  <si>
    <t>Week 1 Payroll - LJ, MM, NT, EC, JS, LN, JMC</t>
  </si>
  <si>
    <t>Total Spend - 05/10/15</t>
  </si>
  <si>
    <t>9)</t>
  </si>
  <si>
    <t>General Spend</t>
  </si>
  <si>
    <t>Never Mind The Pub Quiz</t>
  </si>
  <si>
    <t>Total spend to date</t>
  </si>
  <si>
    <t>A Play In A Pub</t>
  </si>
  <si>
    <t>Weekend Rockstars @ Soho</t>
  </si>
  <si>
    <t>City Til We Die R&amp;D</t>
  </si>
  <si>
    <t>TOTAL SPEND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</si>
</sst>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£-809]#,##0.00;[Red][$£-809]#,##0.00"/>
    <numFmt numFmtId="165" formatCode="[$£-809]#,##0.00"/>
    <numFmt numFmtId="166" formatCode="[$£-809]#,##0;[Red][$£-809]#,##0"/>
  </numFmts>
  <fonts count="13" x14ac:knownFonts="1">
    <font>
      <sz val="12"/>
      <color indexed="8"/>
      <name val="Verdana"/>
    </font>
    <font>
      <sz val="12"/>
      <color indexed="8"/>
      <name val="Calibri"/>
    </font>
    <font>
      <b/>
      <sz val="16"/>
      <color indexed="8"/>
      <name val="Calibri"/>
    </font>
    <font>
      <sz val="16"/>
      <color indexed="8"/>
      <name val="Calibri"/>
    </font>
    <font>
      <sz val="13"/>
      <color indexed="8"/>
      <name val="Calibri"/>
    </font>
    <font>
      <b/>
      <sz val="12"/>
      <color indexed="8"/>
      <name val="Calibri"/>
    </font>
    <font>
      <sz val="12"/>
      <color indexed="12"/>
      <name val="Calibri"/>
    </font>
    <font>
      <sz val="12"/>
      <color indexed="13"/>
      <name val="Calibri"/>
    </font>
    <font>
      <b/>
      <sz val="10"/>
      <color indexed="8"/>
      <name val="Arial"/>
    </font>
    <font>
      <u/>
      <sz val="12"/>
      <color indexed="8"/>
      <name val="Calibri"/>
    </font>
    <font>
      <sz val="12"/>
      <color indexed="8"/>
      <name val="Verdana"/>
    </font>
    <font>
      <u/>
      <sz val="12"/>
      <color theme="10"/>
      <name val="Verdana"/>
    </font>
    <font>
      <u/>
      <sz val="12"/>
      <color theme="11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4"/>
        <bgColor auto="1"/>
      </patternFill>
    </fill>
    <fill>
      <patternFill patternType="solid">
        <fgColor rgb="FFFFFF00"/>
        <bgColor indexed="64"/>
      </patternFill>
    </fill>
  </fills>
  <borders count="10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ashed">
        <color indexed="8"/>
      </bottom>
      <diagonal/>
    </border>
    <border>
      <left style="thin">
        <color indexed="9"/>
      </left>
      <right style="dashed">
        <color indexed="8"/>
      </right>
      <top style="thin">
        <color indexed="9"/>
      </top>
      <bottom style="thin">
        <color indexed="9"/>
      </bottom>
      <diagonal/>
    </border>
    <border>
      <left style="dashed">
        <color indexed="8"/>
      </left>
      <right/>
      <top style="dashed">
        <color indexed="8"/>
      </top>
      <bottom/>
      <diagonal/>
    </border>
    <border>
      <left/>
      <right style="dashed">
        <color indexed="8"/>
      </right>
      <top style="dashed">
        <color indexed="8"/>
      </top>
      <bottom/>
      <diagonal/>
    </border>
    <border>
      <left style="dashed">
        <color indexed="8"/>
      </left>
      <right style="dashed">
        <color indexed="8"/>
      </right>
      <top style="thin">
        <color indexed="9"/>
      </top>
      <bottom style="thin">
        <color indexed="9"/>
      </bottom>
      <diagonal/>
    </border>
    <border>
      <left/>
      <right/>
      <top style="dashed">
        <color indexed="8"/>
      </top>
      <bottom/>
      <diagonal/>
    </border>
    <border>
      <left style="dashed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ashed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dashed">
        <color indexed="8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ashed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dashed">
        <color indexed="8"/>
      </right>
      <top style="thin">
        <color indexed="9"/>
      </top>
      <bottom/>
      <diagonal/>
    </border>
    <border>
      <left style="dashed">
        <color indexed="8"/>
      </left>
      <right/>
      <top/>
      <bottom style="dashed">
        <color indexed="8"/>
      </bottom>
      <diagonal/>
    </border>
    <border>
      <left/>
      <right style="dashed">
        <color indexed="8"/>
      </right>
      <top/>
      <bottom style="dashed">
        <color indexed="8"/>
      </bottom>
      <diagonal/>
    </border>
    <border>
      <left style="thin">
        <color indexed="9"/>
      </left>
      <right style="thin">
        <color indexed="9"/>
      </right>
      <top style="dashed">
        <color indexed="8"/>
      </top>
      <bottom style="dashed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 style="dashed">
        <color indexed="8"/>
      </bottom>
      <diagonal/>
    </border>
    <border>
      <left style="thin">
        <color indexed="9"/>
      </left>
      <right style="thin">
        <color indexed="9"/>
      </right>
      <top style="dashed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Dashed">
        <color indexed="11"/>
      </bottom>
      <diagonal/>
    </border>
    <border>
      <left style="thin">
        <color indexed="9"/>
      </left>
      <right style="mediumDashed">
        <color indexed="11"/>
      </right>
      <top style="thin">
        <color indexed="9"/>
      </top>
      <bottom style="thin">
        <color indexed="9"/>
      </bottom>
      <diagonal/>
    </border>
    <border>
      <left style="mediumDashed">
        <color indexed="11"/>
      </left>
      <right style="thin">
        <color indexed="9"/>
      </right>
      <top style="mediumDashed">
        <color indexed="11"/>
      </top>
      <bottom/>
      <diagonal/>
    </border>
    <border>
      <left style="thin">
        <color indexed="9"/>
      </left>
      <right style="thin">
        <color indexed="9"/>
      </right>
      <top style="mediumDashed">
        <color indexed="11"/>
      </top>
      <bottom/>
      <diagonal/>
    </border>
    <border>
      <left style="thin">
        <color indexed="9"/>
      </left>
      <right style="dashed">
        <color indexed="11"/>
      </right>
      <top style="mediumDashed">
        <color indexed="11"/>
      </top>
      <bottom/>
      <diagonal/>
    </border>
    <border>
      <left style="dashed">
        <color indexed="11"/>
      </left>
      <right style="dashed">
        <color indexed="11"/>
      </right>
      <top style="mediumDashed">
        <color indexed="11"/>
      </top>
      <bottom/>
      <diagonal/>
    </border>
    <border>
      <left style="dashed">
        <color indexed="11"/>
      </left>
      <right style="thin">
        <color indexed="9"/>
      </right>
      <top style="mediumDashed">
        <color indexed="11"/>
      </top>
      <bottom/>
      <diagonal/>
    </border>
    <border>
      <left style="thin">
        <color indexed="9"/>
      </left>
      <right style="mediumDashed">
        <color indexed="11"/>
      </right>
      <top style="mediumDashed">
        <color indexed="11"/>
      </top>
      <bottom/>
      <diagonal/>
    </border>
    <border>
      <left style="mediumDashed">
        <color indexed="11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Dashed">
        <color indexed="11"/>
      </left>
      <right/>
      <top/>
      <bottom/>
      <diagonal/>
    </border>
    <border>
      <left/>
      <right/>
      <top/>
      <bottom/>
      <diagonal/>
    </border>
    <border>
      <left/>
      <right style="dashed">
        <color indexed="11"/>
      </right>
      <top/>
      <bottom/>
      <diagonal/>
    </border>
    <border>
      <left style="dashed">
        <color indexed="11"/>
      </left>
      <right style="dashed">
        <color indexed="11"/>
      </right>
      <top/>
      <bottom/>
      <diagonal/>
    </border>
    <border>
      <left style="dashed">
        <color indexed="11"/>
      </left>
      <right/>
      <top/>
      <bottom/>
      <diagonal/>
    </border>
    <border>
      <left/>
      <right style="mediumDashed">
        <color indexed="11"/>
      </right>
      <top/>
      <bottom/>
      <diagonal/>
    </border>
    <border>
      <left style="mediumDashed">
        <color indexed="11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dashed">
        <color indexed="11"/>
      </right>
      <top/>
      <bottom style="thin">
        <color indexed="9"/>
      </bottom>
      <diagonal/>
    </border>
    <border>
      <left style="dashed">
        <color indexed="11"/>
      </left>
      <right style="dashed">
        <color indexed="11"/>
      </right>
      <top/>
      <bottom style="thin">
        <color indexed="9"/>
      </bottom>
      <diagonal/>
    </border>
    <border>
      <left style="dashed">
        <color indexed="11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Dashed">
        <color indexed="11"/>
      </right>
      <top/>
      <bottom style="thin">
        <color indexed="9"/>
      </bottom>
      <diagonal/>
    </border>
    <border>
      <left style="thin">
        <color indexed="9"/>
      </left>
      <right style="dashed">
        <color indexed="11"/>
      </right>
      <top style="thin">
        <color indexed="9"/>
      </top>
      <bottom style="thin">
        <color indexed="9"/>
      </bottom>
      <diagonal/>
    </border>
    <border>
      <left style="dashed">
        <color indexed="11"/>
      </left>
      <right style="dashed">
        <color indexed="11"/>
      </right>
      <top style="thin">
        <color indexed="9"/>
      </top>
      <bottom style="thin">
        <color indexed="9"/>
      </bottom>
      <diagonal/>
    </border>
    <border>
      <left style="dashed">
        <color indexed="11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Dashed">
        <color indexed="11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dashed">
        <color indexed="11"/>
      </right>
      <top style="thin">
        <color indexed="9"/>
      </top>
      <bottom/>
      <diagonal/>
    </border>
    <border>
      <left style="dashed">
        <color indexed="11"/>
      </left>
      <right style="dashed">
        <color indexed="11"/>
      </right>
      <top style="thin">
        <color indexed="9"/>
      </top>
      <bottom/>
      <diagonal/>
    </border>
    <border>
      <left style="dashed">
        <color indexed="11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Dashed">
        <color indexed="11"/>
      </right>
      <top style="thin">
        <color indexed="9"/>
      </top>
      <bottom/>
      <diagonal/>
    </border>
    <border>
      <left style="mediumDashed">
        <color indexed="11"/>
      </left>
      <right style="thin">
        <color indexed="9"/>
      </right>
      <top/>
      <bottom style="mediumDashed">
        <color indexed="11"/>
      </bottom>
      <diagonal/>
    </border>
    <border>
      <left style="thin">
        <color indexed="9"/>
      </left>
      <right style="thin">
        <color indexed="9"/>
      </right>
      <top/>
      <bottom style="mediumDashed">
        <color indexed="11"/>
      </bottom>
      <diagonal/>
    </border>
    <border>
      <left style="thin">
        <color indexed="9"/>
      </left>
      <right style="dashed">
        <color indexed="11"/>
      </right>
      <top/>
      <bottom style="mediumDashed">
        <color indexed="11"/>
      </bottom>
      <diagonal/>
    </border>
    <border>
      <left style="dashed">
        <color indexed="11"/>
      </left>
      <right style="dashed">
        <color indexed="11"/>
      </right>
      <top/>
      <bottom style="mediumDashed">
        <color indexed="11"/>
      </bottom>
      <diagonal/>
    </border>
    <border>
      <left style="dashed">
        <color indexed="11"/>
      </left>
      <right style="thin">
        <color indexed="9"/>
      </right>
      <top/>
      <bottom style="mediumDashed">
        <color indexed="11"/>
      </bottom>
      <diagonal/>
    </border>
    <border>
      <left style="thin">
        <color indexed="9"/>
      </left>
      <right style="mediumDashed">
        <color indexed="11"/>
      </right>
      <top/>
      <bottom style="mediumDashed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5"/>
      </bottom>
      <diagonal/>
    </border>
    <border>
      <left style="dashed">
        <color indexed="8"/>
      </left>
      <right style="thin">
        <color indexed="15"/>
      </right>
      <top style="thin">
        <color indexed="9"/>
      </top>
      <bottom style="thin">
        <color indexed="9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9"/>
      </left>
      <right style="thin">
        <color indexed="9"/>
      </right>
      <top style="thin">
        <color indexed="15"/>
      </top>
      <bottom style="thin">
        <color indexed="9"/>
      </bottom>
      <diagonal/>
    </border>
    <border>
      <left style="thin">
        <color indexed="9"/>
      </left>
      <right style="thin">
        <color indexed="15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15"/>
      </bottom>
      <diagonal/>
    </border>
    <border>
      <left style="thin">
        <color indexed="15"/>
      </left>
      <right/>
      <top style="thin">
        <color indexed="15"/>
      </top>
      <bottom style="thin">
        <color indexed="15"/>
      </bottom>
      <diagonal/>
    </border>
    <border>
      <left style="thin">
        <color indexed="9"/>
      </left>
      <right/>
      <top style="thin">
        <color indexed="15"/>
      </top>
      <bottom style="thin">
        <color indexed="15"/>
      </bottom>
      <diagonal/>
    </border>
    <border>
      <left style="thin">
        <color indexed="9"/>
      </left>
      <right/>
      <top style="thin">
        <color indexed="15"/>
      </top>
      <bottom style="thin">
        <color indexed="9"/>
      </bottom>
      <diagonal/>
    </border>
    <border>
      <left style="thin">
        <color theme="0" tint="-0.24997711111789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dashed">
        <color auto="1"/>
      </right>
      <top/>
      <bottom style="thin">
        <color indexed="9"/>
      </bottom>
      <diagonal/>
    </border>
    <border>
      <left style="dashed">
        <color auto="1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dashed">
        <color auto="1"/>
      </right>
      <top style="thin">
        <color indexed="9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dashed">
        <color indexed="8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dashed">
        <color auto="1"/>
      </left>
      <right style="thin">
        <color theme="0" tint="-0.249977111117893"/>
      </right>
      <top style="dashed">
        <color auto="1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auto="1"/>
      </right>
      <top style="dashed">
        <color auto="1"/>
      </top>
      <bottom style="thin">
        <color theme="0" tint="-0.249977111117893"/>
      </bottom>
      <diagonal/>
    </border>
    <border>
      <left style="dashed">
        <color auto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auto="1"/>
      </right>
      <top style="thin">
        <color theme="0" tint="-0.249977111117893"/>
      </top>
      <bottom style="thin">
        <color theme="0" tint="-0.249977111117893"/>
      </bottom>
      <diagonal/>
    </border>
    <border>
      <left style="dashed">
        <color auto="1"/>
      </left>
      <right style="thin">
        <color theme="0" tint="-0.249977111117893"/>
      </right>
      <top style="thin">
        <color theme="0" tint="-0.249977111117893"/>
      </top>
      <bottom style="dashed">
        <color auto="1"/>
      </bottom>
      <diagonal/>
    </border>
    <border>
      <left style="thin">
        <color theme="0" tint="-0.249977111117893"/>
      </left>
      <right style="dashed">
        <color auto="1"/>
      </right>
      <top style="thin">
        <color theme="0" tint="-0.249977111117893"/>
      </top>
      <bottom style="dashed">
        <color auto="1"/>
      </bottom>
      <diagonal/>
    </border>
    <border>
      <left style="thin">
        <color indexed="9"/>
      </left>
      <right/>
      <top style="dashed">
        <color indexed="8"/>
      </top>
      <bottom/>
      <diagonal/>
    </border>
    <border>
      <left/>
      <right/>
      <top style="thin">
        <color indexed="9"/>
      </top>
      <bottom/>
      <diagonal/>
    </border>
    <border>
      <left style="thin">
        <color theme="0" tint="-0.249977111117893"/>
      </left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 style="thin">
        <color theme="0" tint="-0.249977111117893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auto="1"/>
      </top>
      <bottom style="thin">
        <color theme="0" tint="-0.249977111117893"/>
      </bottom>
      <diagonal/>
    </border>
    <border>
      <left/>
      <right style="thin">
        <color auto="1"/>
      </right>
      <top style="thin">
        <color auto="1"/>
      </top>
      <bottom style="thin">
        <color indexed="9"/>
      </bottom>
      <diagonal/>
    </border>
    <border>
      <left/>
      <right style="thin">
        <color auto="1"/>
      </right>
      <top style="thin">
        <color indexed="9"/>
      </top>
      <bottom style="thin">
        <color indexed="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/>
      <right style="thin">
        <color auto="1"/>
      </right>
      <top style="thin">
        <color indexed="9"/>
      </top>
      <bottom style="thin">
        <color auto="1"/>
      </bottom>
      <diagonal/>
    </border>
  </borders>
  <cellStyleXfs count="24">
    <xf numFmtId="0" fontId="0" fillId="0" borderId="0" applyNumberFormat="0" applyFill="0" applyBorder="0" applyProtection="0">
      <alignment vertical="top" wrapText="1"/>
    </xf>
    <xf numFmtId="0" fontId="11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1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1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1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1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1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1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1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1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1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0" fillId="0" borderId="30" applyNumberFormat="0" applyFill="0" applyBorder="0" applyProtection="0">
      <alignment vertical="top" wrapText="1"/>
    </xf>
    <xf numFmtId="0" fontId="11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</cellStyleXfs>
  <cellXfs count="255">
    <xf numFmtId="0" fontId="0" fillId="0" borderId="0" xfId="0" applyFont="1" applyAlignment="1">
      <alignment vertical="top" wrapText="1"/>
    </xf>
    <xf numFmtId="0" fontId="1" fillId="0" borderId="1" xfId="0" applyFont="1" applyBorder="1" applyAlignment="1"/>
    <xf numFmtId="0" fontId="2" fillId="0" borderId="1" xfId="0" applyNumberFormat="1" applyFont="1" applyBorder="1" applyAlignment="1"/>
    <xf numFmtId="164" fontId="1" fillId="0" borderId="1" xfId="0" applyNumberFormat="1" applyFont="1" applyBorder="1" applyAlignment="1"/>
    <xf numFmtId="1" fontId="1" fillId="0" borderId="1" xfId="0" applyNumberFormat="1" applyFont="1" applyBorder="1" applyAlignment="1"/>
    <xf numFmtId="164" fontId="4" fillId="0" borderId="1" xfId="0" applyNumberFormat="1" applyFont="1" applyBorder="1" applyAlignment="1"/>
    <xf numFmtId="1" fontId="4" fillId="0" borderId="1" xfId="0" applyNumberFormat="1" applyFont="1" applyBorder="1" applyAlignment="1"/>
    <xf numFmtId="0" fontId="5" fillId="0" borderId="1" xfId="0" applyNumberFormat="1" applyFont="1" applyBorder="1" applyAlignment="1"/>
    <xf numFmtId="0" fontId="5" fillId="0" borderId="1" xfId="0" applyNumberFormat="1" applyFont="1" applyBorder="1" applyAlignment="1">
      <alignment horizontal="right"/>
    </xf>
    <xf numFmtId="1" fontId="1" fillId="0" borderId="2" xfId="0" applyNumberFormat="1" applyFont="1" applyBorder="1" applyAlignment="1"/>
    <xf numFmtId="164" fontId="1" fillId="0" borderId="2" xfId="0" applyNumberFormat="1" applyFont="1" applyBorder="1" applyAlignment="1"/>
    <xf numFmtId="1" fontId="5" fillId="0" borderId="1" xfId="0" applyNumberFormat="1" applyFont="1" applyBorder="1" applyAlignment="1"/>
    <xf numFmtId="0" fontId="5" fillId="0" borderId="3" xfId="0" applyNumberFormat="1" applyFont="1" applyBorder="1" applyAlignment="1">
      <alignment horizontal="right"/>
    </xf>
    <xf numFmtId="0" fontId="5" fillId="2" borderId="4" xfId="0" applyNumberFormat="1" applyFont="1" applyFill="1" applyBorder="1" applyAlignment="1"/>
    <xf numFmtId="164" fontId="1" fillId="2" borderId="5" xfId="0" applyNumberFormat="1" applyFont="1" applyFill="1" applyBorder="1" applyAlignment="1"/>
    <xf numFmtId="1" fontId="5" fillId="0" borderId="3" xfId="0" applyNumberFormat="1" applyFont="1" applyBorder="1" applyAlignment="1">
      <alignment horizontal="right"/>
    </xf>
    <xf numFmtId="1" fontId="1" fillId="0" borderId="9" xfId="0" applyNumberFormat="1" applyFont="1" applyBorder="1" applyAlignment="1"/>
    <xf numFmtId="164" fontId="1" fillId="0" borderId="10" xfId="0" applyNumberFormat="1" applyFont="1" applyBorder="1" applyAlignment="1"/>
    <xf numFmtId="0" fontId="1" fillId="0" borderId="3" xfId="0" applyFont="1" applyBorder="1" applyAlignment="1"/>
    <xf numFmtId="1" fontId="1" fillId="0" borderId="12" xfId="0" applyNumberFormat="1" applyFont="1" applyBorder="1" applyAlignment="1"/>
    <xf numFmtId="164" fontId="1" fillId="0" borderId="13" xfId="0" applyNumberFormat="1" applyFont="1" applyBorder="1" applyAlignment="1"/>
    <xf numFmtId="164" fontId="1" fillId="0" borderId="3" xfId="0" applyNumberFormat="1" applyFont="1" applyBorder="1" applyAlignment="1"/>
    <xf numFmtId="1" fontId="1" fillId="0" borderId="3" xfId="0" applyNumberFormat="1" applyFont="1" applyBorder="1" applyAlignment="1">
      <alignment horizontal="right"/>
    </xf>
    <xf numFmtId="0" fontId="5" fillId="2" borderId="14" xfId="0" applyNumberFormat="1" applyFont="1" applyFill="1" applyBorder="1" applyAlignment="1"/>
    <xf numFmtId="164" fontId="5" fillId="2" borderId="15" xfId="0" applyNumberFormat="1" applyFont="1" applyFill="1" applyBorder="1" applyAlignment="1"/>
    <xf numFmtId="0" fontId="1" fillId="0" borderId="1" xfId="0" applyNumberFormat="1" applyFont="1" applyBorder="1" applyAlignment="1"/>
    <xf numFmtId="0" fontId="1" fillId="0" borderId="16" xfId="0" applyFont="1" applyBorder="1" applyAlignment="1"/>
    <xf numFmtId="166" fontId="1" fillId="0" borderId="3" xfId="0" applyNumberFormat="1" applyFont="1" applyBorder="1" applyAlignment="1"/>
    <xf numFmtId="164" fontId="5" fillId="0" borderId="3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164" fontId="1" fillId="0" borderId="8" xfId="0" applyNumberFormat="1" applyFont="1" applyBorder="1" applyAlignment="1"/>
    <xf numFmtId="1" fontId="5" fillId="0" borderId="9" xfId="0" applyNumberFormat="1" applyFont="1" applyBorder="1" applyAlignment="1"/>
    <xf numFmtId="164" fontId="5" fillId="0" borderId="1" xfId="0" applyNumberFormat="1" applyFont="1" applyBorder="1" applyAlignment="1"/>
    <xf numFmtId="0" fontId="1" fillId="0" borderId="0" xfId="0" applyNumberFormat="1" applyFont="1" applyAlignment="1"/>
    <xf numFmtId="0" fontId="8" fillId="0" borderId="1" xfId="0" applyNumberFormat="1" applyFont="1" applyBorder="1" applyAlignment="1"/>
    <xf numFmtId="1" fontId="9" fillId="0" borderId="17" xfId="0" applyNumberFormat="1" applyFont="1" applyBorder="1" applyAlignment="1"/>
    <xf numFmtId="1" fontId="1" fillId="0" borderId="54" xfId="0" applyNumberFormat="1" applyFont="1" applyBorder="1" applyAlignment="1"/>
    <xf numFmtId="164" fontId="1" fillId="0" borderId="54" xfId="0" applyNumberFormat="1" applyFont="1" applyBorder="1" applyAlignment="1"/>
    <xf numFmtId="0" fontId="1" fillId="0" borderId="55" xfId="0" applyFont="1" applyBorder="1" applyAlignment="1"/>
    <xf numFmtId="0" fontId="1" fillId="3" borderId="30" xfId="0" applyNumberFormat="1" applyFont="1" applyFill="1" applyBorder="1" applyAlignment="1"/>
    <xf numFmtId="164" fontId="1" fillId="0" borderId="56" xfId="0" applyNumberFormat="1" applyFont="1" applyBorder="1" applyAlignment="1"/>
    <xf numFmtId="14" fontId="1" fillId="0" borderId="1" xfId="0" applyNumberFormat="1" applyFont="1" applyBorder="1" applyAlignment="1"/>
    <xf numFmtId="1" fontId="1" fillId="0" borderId="57" xfId="0" applyNumberFormat="1" applyFont="1" applyBorder="1" applyAlignment="1"/>
    <xf numFmtId="1" fontId="1" fillId="0" borderId="58" xfId="0" applyNumberFormat="1" applyFont="1" applyBorder="1" applyAlignment="1"/>
    <xf numFmtId="1" fontId="1" fillId="0" borderId="59" xfId="0" applyNumberFormat="1" applyFont="1" applyBorder="1" applyAlignment="1"/>
    <xf numFmtId="164" fontId="1" fillId="0" borderId="59" xfId="0" applyNumberFormat="1" applyFont="1" applyBorder="1" applyAlignment="1"/>
    <xf numFmtId="164" fontId="1" fillId="0" borderId="60" xfId="0" applyNumberFormat="1" applyFont="1" applyBorder="1" applyAlignment="1"/>
    <xf numFmtId="1" fontId="1" fillId="0" borderId="61" xfId="0" applyNumberFormat="1" applyFont="1" applyBorder="1" applyAlignment="1"/>
    <xf numFmtId="164" fontId="1" fillId="0" borderId="57" xfId="0" applyNumberFormat="1" applyFont="1" applyBorder="1" applyAlignment="1"/>
    <xf numFmtId="0" fontId="1" fillId="0" borderId="62" xfId="0" applyNumberFormat="1" applyFont="1" applyBorder="1" applyAlignment="1"/>
    <xf numFmtId="165" fontId="5" fillId="0" borderId="1" xfId="0" applyNumberFormat="1" applyFont="1" applyBorder="1" applyAlignment="1"/>
    <xf numFmtId="0" fontId="1" fillId="0" borderId="1" xfId="0" applyNumberFormat="1" applyFont="1" applyBorder="1" applyAlignment="1">
      <alignment horizontal="center"/>
    </xf>
    <xf numFmtId="1" fontId="1" fillId="0" borderId="63" xfId="0" applyNumberFormat="1" applyFont="1" applyBorder="1" applyAlignment="1"/>
    <xf numFmtId="164" fontId="1" fillId="0" borderId="64" xfId="0" applyNumberFormat="1" applyFont="1" applyBorder="1" applyAlignment="1"/>
    <xf numFmtId="164" fontId="1" fillId="0" borderId="65" xfId="0" applyNumberFormat="1" applyFont="1" applyBorder="1" applyAlignment="1"/>
    <xf numFmtId="164" fontId="1" fillId="0" borderId="66" xfId="0" applyNumberFormat="1" applyFont="1" applyBorder="1" applyAlignment="1"/>
    <xf numFmtId="164" fontId="1" fillId="0" borderId="67" xfId="0" applyNumberFormat="1" applyFont="1" applyBorder="1" applyAlignment="1"/>
    <xf numFmtId="164" fontId="5" fillId="0" borderId="3" xfId="0" applyNumberFormat="1" applyFont="1" applyBorder="1" applyAlignment="1"/>
    <xf numFmtId="164" fontId="5" fillId="0" borderId="66" xfId="0" applyNumberFormat="1" applyFont="1" applyBorder="1" applyAlignment="1"/>
    <xf numFmtId="164" fontId="5" fillId="0" borderId="67" xfId="0" applyNumberFormat="1" applyFont="1" applyBorder="1" applyAlignment="1"/>
    <xf numFmtId="164" fontId="1" fillId="0" borderId="68" xfId="0" applyNumberFormat="1" applyFont="1" applyBorder="1" applyAlignment="1"/>
    <xf numFmtId="164" fontId="5" fillId="0" borderId="8" xfId="0" applyNumberFormat="1" applyFont="1" applyBorder="1" applyAlignment="1"/>
    <xf numFmtId="164" fontId="5" fillId="0" borderId="65" xfId="0" applyNumberFormat="1" applyFont="1" applyBorder="1" applyAlignment="1"/>
    <xf numFmtId="164" fontId="1" fillId="0" borderId="69" xfId="0" applyNumberFormat="1" applyFont="1" applyBorder="1" applyAlignment="1"/>
    <xf numFmtId="164" fontId="5" fillId="0" borderId="69" xfId="0" applyNumberFormat="1" applyFont="1" applyBorder="1" applyAlignment="1"/>
    <xf numFmtId="0" fontId="1" fillId="0" borderId="68" xfId="0" applyFont="1" applyBorder="1" applyAlignment="1"/>
    <xf numFmtId="0" fontId="4" fillId="0" borderId="1" xfId="0" applyNumberFormat="1" applyFont="1" applyBorder="1" applyAlignment="1"/>
    <xf numFmtId="0" fontId="1" fillId="0" borderId="0" xfId="0" applyNumberFormat="1" applyFont="1" applyAlignment="1"/>
    <xf numFmtId="0" fontId="1" fillId="0" borderId="11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right"/>
    </xf>
    <xf numFmtId="0" fontId="1" fillId="0" borderId="11" xfId="0" applyNumberFormat="1" applyFont="1" applyBorder="1" applyAlignment="1"/>
    <xf numFmtId="0" fontId="1" fillId="0" borderId="17" xfId="0" applyNumberFormat="1" applyFont="1" applyBorder="1" applyAlignment="1"/>
    <xf numFmtId="0" fontId="1" fillId="0" borderId="11" xfId="0" applyFont="1" applyBorder="1" applyAlignment="1"/>
    <xf numFmtId="0" fontId="1" fillId="0" borderId="0" xfId="0" applyNumberFormat="1" applyFont="1" applyAlignment="1"/>
    <xf numFmtId="0" fontId="1" fillId="0" borderId="0" xfId="0" applyNumberFormat="1" applyFont="1" applyAlignment="1"/>
    <xf numFmtId="1" fontId="1" fillId="4" borderId="11" xfId="0" applyNumberFormat="1" applyFont="1" applyFill="1" applyBorder="1" applyAlignment="1"/>
    <xf numFmtId="0" fontId="1" fillId="0" borderId="30" xfId="0" applyNumberFormat="1" applyFont="1" applyBorder="1" applyAlignment="1"/>
    <xf numFmtId="0" fontId="1" fillId="0" borderId="55" xfId="0" applyNumberFormat="1" applyFont="1" applyBorder="1" applyAlignment="1"/>
    <xf numFmtId="164" fontId="1" fillId="0" borderId="55" xfId="0" applyNumberFormat="1" applyFont="1" applyBorder="1" applyAlignment="1"/>
    <xf numFmtId="164" fontId="1" fillId="0" borderId="70" xfId="0" applyNumberFormat="1" applyFont="1" applyBorder="1" applyAlignment="1"/>
    <xf numFmtId="164" fontId="1" fillId="0" borderId="71" xfId="0" applyNumberFormat="1" applyFont="1" applyBorder="1" applyAlignment="1"/>
    <xf numFmtId="0" fontId="8" fillId="0" borderId="55" xfId="0" applyNumberFormat="1" applyFont="1" applyBorder="1" applyAlignment="1"/>
    <xf numFmtId="164" fontId="1" fillId="0" borderId="72" xfId="0" applyNumberFormat="1" applyFont="1" applyBorder="1" applyAlignment="1"/>
    <xf numFmtId="164" fontId="5" fillId="0" borderId="73" xfId="0" applyNumberFormat="1" applyFont="1" applyBorder="1" applyAlignment="1"/>
    <xf numFmtId="164" fontId="1" fillId="0" borderId="74" xfId="0" applyNumberFormat="1" applyFont="1" applyBorder="1" applyAlignment="1"/>
    <xf numFmtId="164" fontId="1" fillId="0" borderId="73" xfId="0" applyNumberFormat="1" applyFont="1" applyBorder="1" applyAlignment="1"/>
    <xf numFmtId="0" fontId="1" fillId="0" borderId="75" xfId="0" applyFont="1" applyBorder="1" applyAlignment="1"/>
    <xf numFmtId="0" fontId="1" fillId="0" borderId="56" xfId="0" applyNumberFormat="1" applyFont="1" applyBorder="1" applyAlignment="1"/>
    <xf numFmtId="1" fontId="5" fillId="0" borderId="55" xfId="0" applyNumberFormat="1" applyFont="1" applyBorder="1" applyAlignment="1">
      <alignment horizontal="right"/>
    </xf>
    <xf numFmtId="164" fontId="5" fillId="0" borderId="55" xfId="0" applyNumberFormat="1" applyFont="1" applyBorder="1" applyAlignment="1">
      <alignment horizontal="right"/>
    </xf>
    <xf numFmtId="0" fontId="1" fillId="0" borderId="76" xfId="0" applyFont="1" applyBorder="1" applyAlignment="1"/>
    <xf numFmtId="0" fontId="5" fillId="0" borderId="55" xfId="0" applyNumberFormat="1" applyFont="1" applyBorder="1" applyAlignment="1">
      <alignment horizontal="right"/>
    </xf>
    <xf numFmtId="0" fontId="1" fillId="0" borderId="56" xfId="0" applyFont="1" applyBorder="1" applyAlignment="1"/>
    <xf numFmtId="0" fontId="5" fillId="2" borderId="77" xfId="0" applyNumberFormat="1" applyFont="1" applyFill="1" applyBorder="1" applyAlignment="1"/>
    <xf numFmtId="164" fontId="1" fillId="2" borderId="78" xfId="0" applyNumberFormat="1" applyFont="1" applyFill="1" applyBorder="1" applyAlignment="1"/>
    <xf numFmtId="164" fontId="1" fillId="0" borderId="80" xfId="0" applyNumberFormat="1" applyFont="1" applyBorder="1" applyAlignment="1"/>
    <xf numFmtId="1" fontId="1" fillId="0" borderId="81" xfId="0" applyNumberFormat="1" applyFont="1" applyBorder="1" applyAlignment="1"/>
    <xf numFmtId="164" fontId="1" fillId="0" borderId="82" xfId="0" applyNumberFormat="1" applyFont="1" applyBorder="1" applyAlignment="1"/>
    <xf numFmtId="0" fontId="5" fillId="2" borderId="83" xfId="0" applyNumberFormat="1" applyFont="1" applyFill="1" applyBorder="1" applyAlignment="1"/>
    <xf numFmtId="164" fontId="5" fillId="2" borderId="84" xfId="0" applyNumberFormat="1" applyFont="1" applyFill="1" applyBorder="1" applyAlignment="1"/>
    <xf numFmtId="1" fontId="5" fillId="0" borderId="86" xfId="0" applyNumberFormat="1" applyFont="1" applyBorder="1" applyAlignment="1">
      <alignment horizontal="right"/>
    </xf>
    <xf numFmtId="0" fontId="1" fillId="0" borderId="86" xfId="0" applyFont="1" applyBorder="1" applyAlignment="1"/>
    <xf numFmtId="164" fontId="5" fillId="0" borderId="86" xfId="0" applyNumberFormat="1" applyFont="1" applyBorder="1" applyAlignment="1">
      <alignment horizontal="right"/>
    </xf>
    <xf numFmtId="164" fontId="1" fillId="0" borderId="86" xfId="0" applyNumberFormat="1" applyFont="1" applyBorder="1" applyAlignment="1"/>
    <xf numFmtId="0" fontId="1" fillId="0" borderId="17" xfId="0" applyFont="1" applyBorder="1" applyAlignment="1"/>
    <xf numFmtId="0" fontId="1" fillId="0" borderId="87" xfId="0" applyFont="1" applyBorder="1" applyAlignment="1"/>
    <xf numFmtId="0" fontId="1" fillId="0" borderId="85" xfId="0" applyNumberFormat="1" applyFont="1" applyBorder="1" applyAlignment="1"/>
    <xf numFmtId="0" fontId="1" fillId="0" borderId="88" xfId="0" applyNumberFormat="1" applyFont="1" applyBorder="1" applyAlignment="1"/>
    <xf numFmtId="0" fontId="5" fillId="2" borderId="89" xfId="0" applyNumberFormat="1" applyFont="1" applyFill="1" applyBorder="1" applyAlignment="1"/>
    <xf numFmtId="164" fontId="1" fillId="2" borderId="90" xfId="0" applyNumberFormat="1" applyFont="1" applyFill="1" applyBorder="1" applyAlignment="1"/>
    <xf numFmtId="1" fontId="1" fillId="0" borderId="91" xfId="0" applyNumberFormat="1" applyFont="1" applyBorder="1" applyAlignment="1"/>
    <xf numFmtId="164" fontId="1" fillId="0" borderId="92" xfId="0" applyNumberFormat="1" applyFont="1" applyBorder="1" applyAlignment="1"/>
    <xf numFmtId="0" fontId="5" fillId="2" borderId="93" xfId="0" applyNumberFormat="1" applyFont="1" applyFill="1" applyBorder="1" applyAlignment="1"/>
    <xf numFmtId="164" fontId="5" fillId="2" borderId="94" xfId="0" applyNumberFormat="1" applyFont="1" applyFill="1" applyBorder="1" applyAlignment="1"/>
    <xf numFmtId="164" fontId="5" fillId="2" borderId="18" xfId="0" applyNumberFormat="1" applyFont="1" applyFill="1" applyBorder="1" applyAlignment="1"/>
    <xf numFmtId="0" fontId="1" fillId="0" borderId="95" xfId="0" applyFont="1" applyBorder="1" applyAlignment="1"/>
    <xf numFmtId="0" fontId="5" fillId="0" borderId="86" xfId="0" applyNumberFormat="1" applyFont="1" applyBorder="1" applyAlignment="1">
      <alignment horizontal="right"/>
    </xf>
    <xf numFmtId="164" fontId="5" fillId="0" borderId="96" xfId="0" applyNumberFormat="1" applyFont="1" applyBorder="1" applyAlignment="1">
      <alignment horizontal="right"/>
    </xf>
    <xf numFmtId="1" fontId="5" fillId="0" borderId="79" xfId="0" applyNumberFormat="1" applyFont="1" applyBorder="1" applyAlignment="1"/>
    <xf numFmtId="0" fontId="1" fillId="0" borderId="97" xfId="0" applyFont="1" applyBorder="1" applyAlignment="1"/>
    <xf numFmtId="0" fontId="1" fillId="0" borderId="2" xfId="0" applyNumberFormat="1" applyFont="1" applyBorder="1" applyAlignment="1"/>
    <xf numFmtId="0" fontId="5" fillId="0" borderId="85" xfId="0" applyNumberFormat="1" applyFont="1" applyBorder="1" applyAlignment="1"/>
    <xf numFmtId="164" fontId="5" fillId="0" borderId="85" xfId="0" applyNumberFormat="1" applyFont="1" applyBorder="1" applyAlignment="1"/>
    <xf numFmtId="0" fontId="1" fillId="0" borderId="1" xfId="21" applyFont="1" applyBorder="1" applyAlignment="1"/>
    <xf numFmtId="0" fontId="2" fillId="0" borderId="1" xfId="21" applyNumberFormat="1" applyFont="1" applyBorder="1" applyAlignment="1"/>
    <xf numFmtId="164" fontId="1" fillId="0" borderId="1" xfId="21" applyNumberFormat="1" applyFont="1" applyBorder="1" applyAlignment="1"/>
    <xf numFmtId="1" fontId="1" fillId="0" borderId="1" xfId="21" applyNumberFormat="1" applyFont="1" applyBorder="1" applyAlignment="1"/>
    <xf numFmtId="165" fontId="1" fillId="0" borderId="1" xfId="21" applyNumberFormat="1" applyFont="1" applyBorder="1" applyAlignment="1"/>
    <xf numFmtId="0" fontId="1" fillId="0" borderId="30" xfId="21" applyNumberFormat="1" applyFont="1" applyAlignment="1"/>
    <xf numFmtId="1" fontId="3" fillId="0" borderId="1" xfId="21" applyNumberFormat="1" applyFont="1" applyBorder="1" applyAlignment="1"/>
    <xf numFmtId="164" fontId="4" fillId="0" borderId="1" xfId="21" applyNumberFormat="1" applyFont="1" applyBorder="1" applyAlignment="1"/>
    <xf numFmtId="1" fontId="4" fillId="0" borderId="1" xfId="21" applyNumberFormat="1" applyFont="1" applyBorder="1" applyAlignment="1"/>
    <xf numFmtId="0" fontId="5" fillId="0" borderId="1" xfId="21" applyNumberFormat="1" applyFont="1" applyBorder="1" applyAlignment="1"/>
    <xf numFmtId="0" fontId="5" fillId="0" borderId="1" xfId="21" applyNumberFormat="1" applyFont="1" applyBorder="1" applyAlignment="1">
      <alignment horizontal="right"/>
    </xf>
    <xf numFmtId="1" fontId="1" fillId="0" borderId="2" xfId="21" applyNumberFormat="1" applyFont="1" applyBorder="1" applyAlignment="1"/>
    <xf numFmtId="164" fontId="1" fillId="0" borderId="2" xfId="21" applyNumberFormat="1" applyFont="1" applyBorder="1" applyAlignment="1"/>
    <xf numFmtId="0" fontId="1" fillId="0" borderId="2" xfId="21" applyFont="1" applyBorder="1" applyAlignment="1"/>
    <xf numFmtId="1" fontId="5" fillId="0" borderId="1" xfId="21" applyNumberFormat="1" applyFont="1" applyBorder="1" applyAlignment="1"/>
    <xf numFmtId="164" fontId="5" fillId="0" borderId="1" xfId="21" applyNumberFormat="1" applyFont="1" applyBorder="1" applyAlignment="1">
      <alignment horizontal="right"/>
    </xf>
    <xf numFmtId="0" fontId="5" fillId="0" borderId="3" xfId="21" applyNumberFormat="1" applyFont="1" applyBorder="1" applyAlignment="1">
      <alignment horizontal="right"/>
    </xf>
    <xf numFmtId="0" fontId="5" fillId="2" borderId="4" xfId="21" applyNumberFormat="1" applyFont="1" applyFill="1" applyBorder="1" applyAlignment="1"/>
    <xf numFmtId="164" fontId="1" fillId="2" borderId="5" xfId="21" applyNumberFormat="1" applyFont="1" applyFill="1" applyBorder="1" applyAlignment="1"/>
    <xf numFmtId="0" fontId="1" fillId="0" borderId="6" xfId="21" applyFont="1" applyBorder="1" applyAlignment="1"/>
    <xf numFmtId="1" fontId="5" fillId="2" borderId="7" xfId="21" applyNumberFormat="1" applyFont="1" applyFill="1" applyBorder="1" applyAlignment="1"/>
    <xf numFmtId="0" fontId="1" fillId="0" borderId="8" xfId="21" applyFont="1" applyBorder="1" applyAlignment="1"/>
    <xf numFmtId="1" fontId="5" fillId="0" borderId="3" xfId="21" applyNumberFormat="1" applyFont="1" applyBorder="1" applyAlignment="1">
      <alignment horizontal="right"/>
    </xf>
    <xf numFmtId="1" fontId="1" fillId="0" borderId="9" xfId="21" applyNumberFormat="1" applyFont="1" applyBorder="1" applyAlignment="1"/>
    <xf numFmtId="164" fontId="1" fillId="0" borderId="10" xfId="21" applyNumberFormat="1" applyFont="1" applyBorder="1" applyAlignment="1"/>
    <xf numFmtId="0" fontId="5" fillId="0" borderId="9" xfId="21" applyNumberFormat="1" applyFont="1" applyBorder="1" applyAlignment="1"/>
    <xf numFmtId="0" fontId="5" fillId="0" borderId="11" xfId="21" applyNumberFormat="1" applyFont="1" applyBorder="1" applyAlignment="1"/>
    <xf numFmtId="0" fontId="5" fillId="0" borderId="10" xfId="21" applyNumberFormat="1" applyFont="1" applyBorder="1" applyAlignment="1"/>
    <xf numFmtId="0" fontId="1" fillId="0" borderId="3" xfId="21" applyFont="1" applyBorder="1" applyAlignment="1"/>
    <xf numFmtId="1" fontId="1" fillId="0" borderId="12" xfId="21" applyNumberFormat="1" applyFont="1" applyBorder="1" applyAlignment="1"/>
    <xf numFmtId="164" fontId="1" fillId="0" borderId="13" xfId="21" applyNumberFormat="1" applyFont="1" applyBorder="1" applyAlignment="1"/>
    <xf numFmtId="1" fontId="1" fillId="0" borderId="8" xfId="21" applyNumberFormat="1" applyFont="1" applyBorder="1" applyAlignment="1"/>
    <xf numFmtId="164" fontId="1" fillId="0" borderId="3" xfId="21" applyNumberFormat="1" applyFont="1" applyBorder="1" applyAlignment="1"/>
    <xf numFmtId="1" fontId="1" fillId="0" borderId="3" xfId="21" applyNumberFormat="1" applyFont="1" applyBorder="1" applyAlignment="1">
      <alignment horizontal="right"/>
    </xf>
    <xf numFmtId="0" fontId="5" fillId="2" borderId="14" xfId="21" applyNumberFormat="1" applyFont="1" applyFill="1" applyBorder="1" applyAlignment="1"/>
    <xf numFmtId="164" fontId="5" fillId="2" borderId="15" xfId="21" applyNumberFormat="1" applyFont="1" applyFill="1" applyBorder="1" applyAlignment="1"/>
    <xf numFmtId="0" fontId="1" fillId="0" borderId="8" xfId="21" applyNumberFormat="1" applyFont="1" applyBorder="1" applyAlignment="1"/>
    <xf numFmtId="0" fontId="1" fillId="0" borderId="1" xfId="21" applyNumberFormat="1" applyFont="1" applyBorder="1" applyAlignment="1"/>
    <xf numFmtId="0" fontId="1" fillId="0" borderId="16" xfId="21" applyFont="1" applyBorder="1" applyAlignment="1"/>
    <xf numFmtId="166" fontId="1" fillId="0" borderId="3" xfId="21" applyNumberFormat="1" applyFont="1" applyBorder="1" applyAlignment="1"/>
    <xf numFmtId="1" fontId="5" fillId="0" borderId="6" xfId="21" applyNumberFormat="1" applyFont="1" applyBorder="1" applyAlignment="1">
      <alignment horizontal="right"/>
    </xf>
    <xf numFmtId="164" fontId="5" fillId="0" borderId="3" xfId="21" applyNumberFormat="1" applyFont="1" applyBorder="1" applyAlignment="1">
      <alignment horizontal="right"/>
    </xf>
    <xf numFmtId="1" fontId="1" fillId="0" borderId="17" xfId="21" applyNumberFormat="1" applyFont="1" applyBorder="1" applyAlignment="1"/>
    <xf numFmtId="1" fontId="5" fillId="2" borderId="18" xfId="21" applyNumberFormat="1" applyFont="1" applyFill="1" applyBorder="1" applyAlignment="1"/>
    <xf numFmtId="1" fontId="1" fillId="0" borderId="16" xfId="21" applyNumberFormat="1" applyFont="1" applyBorder="1" applyAlignment="1"/>
    <xf numFmtId="1" fontId="5" fillId="0" borderId="1" xfId="21" applyNumberFormat="1" applyFont="1" applyBorder="1" applyAlignment="1">
      <alignment horizontal="right"/>
    </xf>
    <xf numFmtId="164" fontId="1" fillId="0" borderId="19" xfId="21" applyNumberFormat="1" applyFont="1" applyBorder="1" applyAlignment="1"/>
    <xf numFmtId="1" fontId="1" fillId="0" borderId="19" xfId="21" applyNumberFormat="1" applyFont="1" applyBorder="1" applyAlignment="1"/>
    <xf numFmtId="164" fontId="5" fillId="0" borderId="8" xfId="21" applyNumberFormat="1" applyFont="1" applyBorder="1" applyAlignment="1">
      <alignment horizontal="right"/>
    </xf>
    <xf numFmtId="164" fontId="5" fillId="0" borderId="6" xfId="21" applyNumberFormat="1" applyFont="1" applyBorder="1" applyAlignment="1">
      <alignment horizontal="right"/>
    </xf>
    <xf numFmtId="164" fontId="1" fillId="0" borderId="6" xfId="21" applyNumberFormat="1" applyFont="1" applyBorder="1" applyAlignment="1"/>
    <xf numFmtId="164" fontId="1" fillId="0" borderId="8" xfId="21" applyNumberFormat="1" applyFont="1" applyBorder="1" applyAlignment="1"/>
    <xf numFmtId="1" fontId="5" fillId="0" borderId="9" xfId="21" applyNumberFormat="1" applyFont="1" applyBorder="1" applyAlignment="1"/>
    <xf numFmtId="0" fontId="1" fillId="0" borderId="19" xfId="21" applyFont="1" applyBorder="1" applyAlignment="1"/>
    <xf numFmtId="0" fontId="1" fillId="0" borderId="20" xfId="21" applyFont="1" applyBorder="1" applyAlignment="1"/>
    <xf numFmtId="0" fontId="1" fillId="0" borderId="21" xfId="21" applyFont="1" applyBorder="1" applyAlignment="1"/>
    <xf numFmtId="1" fontId="1" fillId="0" borderId="22" xfId="21" applyNumberFormat="1" applyFont="1" applyBorder="1" applyAlignment="1"/>
    <xf numFmtId="1" fontId="1" fillId="0" borderId="23" xfId="21" applyNumberFormat="1" applyFont="1" applyBorder="1" applyAlignment="1"/>
    <xf numFmtId="164" fontId="1" fillId="0" borderId="24" xfId="21" applyNumberFormat="1" applyFont="1" applyBorder="1" applyAlignment="1"/>
    <xf numFmtId="1" fontId="1" fillId="0" borderId="25" xfId="21" applyNumberFormat="1" applyFont="1" applyBorder="1" applyAlignment="1"/>
    <xf numFmtId="1" fontId="1" fillId="0" borderId="26" xfId="21" applyNumberFormat="1" applyFont="1" applyBorder="1" applyAlignment="1"/>
    <xf numFmtId="164" fontId="1" fillId="0" borderId="27" xfId="21" applyNumberFormat="1" applyFont="1" applyBorder="1" applyAlignment="1"/>
    <xf numFmtId="0" fontId="1" fillId="0" borderId="28" xfId="21" applyFont="1" applyBorder="1" applyAlignment="1"/>
    <xf numFmtId="1" fontId="1" fillId="2" borderId="29" xfId="21" applyNumberFormat="1" applyFont="1" applyFill="1" applyBorder="1" applyAlignment="1"/>
    <xf numFmtId="0" fontId="2" fillId="2" borderId="30" xfId="21" applyNumberFormat="1" applyFont="1" applyFill="1" applyBorder="1" applyAlignment="1"/>
    <xf numFmtId="164" fontId="1" fillId="2" borderId="31" xfId="21" applyNumberFormat="1" applyFont="1" applyFill="1" applyBorder="1" applyAlignment="1"/>
    <xf numFmtId="1" fontId="1" fillId="2" borderId="32" xfId="21" applyNumberFormat="1" applyFont="1" applyFill="1" applyBorder="1" applyAlignment="1"/>
    <xf numFmtId="0" fontId="2" fillId="2" borderId="33" xfId="21" applyNumberFormat="1" applyFont="1" applyFill="1" applyBorder="1" applyAlignment="1"/>
    <xf numFmtId="1" fontId="2" fillId="2" borderId="30" xfId="21" applyNumberFormat="1" applyFont="1" applyFill="1" applyBorder="1" applyAlignment="1">
      <alignment horizontal="right"/>
    </xf>
    <xf numFmtId="164" fontId="1" fillId="2" borderId="34" xfId="21" applyNumberFormat="1" applyFont="1" applyFill="1" applyBorder="1" applyAlignment="1"/>
    <xf numFmtId="1" fontId="1" fillId="0" borderId="35" xfId="21" applyNumberFormat="1" applyFont="1" applyBorder="1" applyAlignment="1"/>
    <xf numFmtId="1" fontId="1" fillId="0" borderId="11" xfId="21" applyNumberFormat="1" applyFont="1" applyBorder="1" applyAlignment="1"/>
    <xf numFmtId="164" fontId="1" fillId="0" borderId="36" xfId="21" applyNumberFormat="1" applyFont="1" applyBorder="1" applyAlignment="1"/>
    <xf numFmtId="1" fontId="1" fillId="0" borderId="37" xfId="21" applyNumberFormat="1" applyFont="1" applyBorder="1" applyAlignment="1"/>
    <xf numFmtId="1" fontId="1" fillId="0" borderId="38" xfId="21" applyNumberFormat="1" applyFont="1" applyBorder="1" applyAlignment="1"/>
    <xf numFmtId="164" fontId="1" fillId="0" borderId="11" xfId="21" applyNumberFormat="1" applyFont="1" applyBorder="1" applyAlignment="1"/>
    <xf numFmtId="164" fontId="1" fillId="0" borderId="39" xfId="21" applyNumberFormat="1" applyFont="1" applyBorder="1" applyAlignment="1"/>
    <xf numFmtId="1" fontId="1" fillId="0" borderId="28" xfId="21" applyNumberFormat="1" applyFont="1" applyBorder="1" applyAlignment="1"/>
    <xf numFmtId="0" fontId="5" fillId="0" borderId="40" xfId="21" applyNumberFormat="1" applyFont="1" applyBorder="1" applyAlignment="1">
      <alignment horizontal="right"/>
    </xf>
    <xf numFmtId="1" fontId="1" fillId="0" borderId="41" xfId="21" applyNumberFormat="1" applyFont="1" applyBorder="1" applyAlignment="1"/>
    <xf numFmtId="0" fontId="5" fillId="0" borderId="42" xfId="21" applyNumberFormat="1" applyFont="1" applyBorder="1" applyAlignment="1"/>
    <xf numFmtId="164" fontId="1" fillId="0" borderId="21" xfId="21" applyNumberFormat="1" applyFont="1" applyBorder="1" applyAlignment="1"/>
    <xf numFmtId="164" fontId="1" fillId="0" borderId="40" xfId="21" applyNumberFormat="1" applyFont="1" applyBorder="1" applyAlignment="1"/>
    <xf numFmtId="1" fontId="1" fillId="0" borderId="42" xfId="21" applyNumberFormat="1" applyFont="1" applyBorder="1" applyAlignment="1"/>
    <xf numFmtId="164" fontId="5" fillId="0" borderId="40" xfId="21" applyNumberFormat="1" applyFont="1" applyBorder="1" applyAlignment="1"/>
    <xf numFmtId="164" fontId="5" fillId="0" borderId="1" xfId="21" applyNumberFormat="1" applyFont="1" applyBorder="1" applyAlignment="1"/>
    <xf numFmtId="1" fontId="6" fillId="0" borderId="1" xfId="21" applyNumberFormat="1" applyFont="1" applyBorder="1" applyAlignment="1">
      <alignment horizontal="left"/>
    </xf>
    <xf numFmtId="164" fontId="6" fillId="0" borderId="40" xfId="21" applyNumberFormat="1" applyFont="1" applyBorder="1" applyAlignment="1"/>
    <xf numFmtId="0" fontId="1" fillId="0" borderId="42" xfId="21" applyNumberFormat="1" applyFont="1" applyBorder="1" applyAlignment="1"/>
    <xf numFmtId="17" fontId="1" fillId="0" borderId="1" xfId="21" applyNumberFormat="1" applyFont="1" applyBorder="1" applyAlignment="1"/>
    <xf numFmtId="0" fontId="7" fillId="0" borderId="1" xfId="21" applyNumberFormat="1" applyFont="1" applyBorder="1" applyAlignment="1"/>
    <xf numFmtId="164" fontId="7" fillId="0" borderId="40" xfId="21" applyNumberFormat="1" applyFont="1" applyBorder="1" applyAlignment="1"/>
    <xf numFmtId="164" fontId="7" fillId="0" borderId="1" xfId="21" applyNumberFormat="1" applyFont="1" applyBorder="1" applyAlignment="1"/>
    <xf numFmtId="1" fontId="1" fillId="0" borderId="40" xfId="21" applyNumberFormat="1" applyFont="1" applyBorder="1" applyAlignment="1"/>
    <xf numFmtId="166" fontId="7" fillId="0" borderId="1" xfId="21" applyNumberFormat="1" applyFont="1" applyBorder="1" applyAlignment="1"/>
    <xf numFmtId="166" fontId="1" fillId="0" borderId="1" xfId="21" applyNumberFormat="1" applyFont="1" applyBorder="1" applyAlignment="1"/>
    <xf numFmtId="0" fontId="7" fillId="0" borderId="1" xfId="21" applyNumberFormat="1" applyFont="1" applyBorder="1" applyAlignment="1">
      <alignment horizontal="left"/>
    </xf>
    <xf numFmtId="166" fontId="7" fillId="0" borderId="40" xfId="21" applyNumberFormat="1" applyFont="1" applyBorder="1" applyAlignment="1"/>
    <xf numFmtId="1" fontId="5" fillId="0" borderId="42" xfId="21" applyNumberFormat="1" applyFont="1" applyBorder="1" applyAlignment="1"/>
    <xf numFmtId="1" fontId="7" fillId="0" borderId="1" xfId="21" applyNumberFormat="1" applyFont="1" applyBorder="1" applyAlignment="1"/>
    <xf numFmtId="1" fontId="1" fillId="0" borderId="43" xfId="21" applyNumberFormat="1" applyFont="1" applyBorder="1" applyAlignment="1"/>
    <xf numFmtId="1" fontId="6" fillId="0" borderId="17" xfId="21" applyNumberFormat="1" applyFont="1" applyBorder="1" applyAlignment="1"/>
    <xf numFmtId="164" fontId="6" fillId="0" borderId="44" xfId="21" applyNumberFormat="1" applyFont="1" applyBorder="1" applyAlignment="1"/>
    <xf numFmtId="1" fontId="1" fillId="0" borderId="45" xfId="21" applyNumberFormat="1" applyFont="1" applyBorder="1" applyAlignment="1"/>
    <xf numFmtId="1" fontId="1" fillId="0" borderId="46" xfId="21" applyNumberFormat="1" applyFont="1" applyBorder="1" applyAlignment="1"/>
    <xf numFmtId="164" fontId="1" fillId="0" borderId="17" xfId="21" applyNumberFormat="1" applyFont="1" applyBorder="1" applyAlignment="1"/>
    <xf numFmtId="164" fontId="1" fillId="0" borderId="47" xfId="21" applyNumberFormat="1" applyFont="1" applyBorder="1" applyAlignment="1"/>
    <xf numFmtId="0" fontId="5" fillId="2" borderId="30" xfId="21" applyNumberFormat="1" applyFont="1" applyFill="1" applyBorder="1" applyAlignment="1"/>
    <xf numFmtId="166" fontId="5" fillId="2" borderId="31" xfId="21" applyNumberFormat="1" applyFont="1" applyFill="1" applyBorder="1" applyAlignment="1"/>
    <xf numFmtId="0" fontId="5" fillId="2" borderId="33" xfId="21" applyNumberFormat="1" applyFont="1" applyFill="1" applyBorder="1" applyAlignment="1"/>
    <xf numFmtId="166" fontId="5" fillId="2" borderId="30" xfId="21" applyNumberFormat="1" applyFont="1" applyFill="1" applyBorder="1" applyAlignment="1"/>
    <xf numFmtId="1" fontId="3" fillId="2" borderId="29" xfId="21" applyNumberFormat="1" applyFont="1" applyFill="1" applyBorder="1" applyAlignment="1"/>
    <xf numFmtId="166" fontId="2" fillId="2" borderId="31" xfId="21" applyNumberFormat="1" applyFont="1" applyFill="1" applyBorder="1" applyAlignment="1"/>
    <xf numFmtId="1" fontId="3" fillId="2" borderId="32" xfId="21" applyNumberFormat="1" applyFont="1" applyFill="1" applyBorder="1" applyAlignment="1"/>
    <xf numFmtId="166" fontId="2" fillId="2" borderId="30" xfId="21" applyNumberFormat="1" applyFont="1" applyFill="1" applyBorder="1" applyAlignment="1"/>
    <xf numFmtId="166" fontId="3" fillId="2" borderId="34" xfId="21" applyNumberFormat="1" applyFont="1" applyFill="1" applyBorder="1" applyAlignment="1"/>
    <xf numFmtId="1" fontId="1" fillId="0" borderId="48" xfId="21" applyNumberFormat="1" applyFont="1" applyBorder="1" applyAlignment="1"/>
    <xf numFmtId="1" fontId="1" fillId="0" borderId="49" xfId="21" applyNumberFormat="1" applyFont="1" applyBorder="1" applyAlignment="1"/>
    <xf numFmtId="164" fontId="1" fillId="0" borderId="50" xfId="21" applyNumberFormat="1" applyFont="1" applyBorder="1" applyAlignment="1"/>
    <xf numFmtId="1" fontId="1" fillId="0" borderId="51" xfId="21" applyNumberFormat="1" applyFont="1" applyBorder="1" applyAlignment="1"/>
    <xf numFmtId="1" fontId="1" fillId="0" borderId="52" xfId="21" applyNumberFormat="1" applyFont="1" applyBorder="1" applyAlignment="1"/>
    <xf numFmtId="164" fontId="1" fillId="0" borderId="53" xfId="21" applyNumberFormat="1" applyFont="1" applyBorder="1" applyAlignment="1"/>
    <xf numFmtId="0" fontId="0" fillId="0" borderId="30" xfId="21" applyFont="1" applyAlignment="1">
      <alignment vertical="top" wrapText="1"/>
    </xf>
    <xf numFmtId="0" fontId="1" fillId="0" borderId="98" xfId="0" applyNumberFormat="1" applyFont="1" applyBorder="1" applyAlignment="1"/>
    <xf numFmtId="0" fontId="1" fillId="0" borderId="101" xfId="0" applyNumberFormat="1" applyFont="1" applyBorder="1" applyAlignment="1"/>
    <xf numFmtId="164" fontId="5" fillId="0" borderId="102" xfId="0" applyNumberFormat="1" applyFont="1" applyBorder="1" applyAlignment="1">
      <alignment horizontal="right"/>
    </xf>
    <xf numFmtId="0" fontId="1" fillId="0" borderId="99" xfId="0" applyNumberFormat="1" applyFont="1" applyBorder="1" applyAlignment="1"/>
    <xf numFmtId="164" fontId="5" fillId="0" borderId="103" xfId="0" applyNumberFormat="1" applyFont="1" applyBorder="1" applyAlignment="1">
      <alignment horizontal="right"/>
    </xf>
    <xf numFmtId="0" fontId="1" fillId="0" borderId="100" xfId="0" applyNumberFormat="1" applyFont="1" applyBorder="1" applyAlignment="1"/>
    <xf numFmtId="0" fontId="1" fillId="0" borderId="104" xfId="0" applyNumberFormat="1" applyFont="1" applyBorder="1" applyAlignment="1"/>
    <xf numFmtId="164" fontId="5" fillId="0" borderId="105" xfId="0" applyNumberFormat="1" applyFont="1" applyBorder="1" applyAlignment="1">
      <alignment horizontal="right"/>
    </xf>
  </cellXfs>
  <cellStyles count="2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2" builtinId="8" hidden="1"/>
    <cellStyle name="Normal" xfId="0" builtinId="0"/>
    <cellStyle name="Normal 2" xfId="21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CCFFCC"/>
      <rgbColor rgb="FF008000"/>
      <rgbColor rgb="FF903C39"/>
      <rgbColor rgb="FFC0504D"/>
      <rgbColor rgb="FFFFFF00"/>
      <rgbColor rgb="FFD8D8D8"/>
      <rgbColor rgb="FFEAF1DD"/>
      <rgbColor rgb="FFFDE9D9"/>
      <rgbColor rgb="FFC2D69B"/>
      <rgbColor rgb="00000000"/>
      <rgbColor rgb="FFFFC7CE"/>
      <rgbColor rgb="FF9C0006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/Dropbox/Middle%20Child/Finance/Funding%20Budgets/MC%2015-16%20Budget%20Bid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"/>
      <sheetName val="General Expenses"/>
      <sheetName val="Quiz"/>
      <sheetName val="Mercury Fur"/>
      <sheetName val="MF Expenses"/>
      <sheetName val="Halloween"/>
      <sheetName val="Halloween Expenses"/>
      <sheetName val="Pub"/>
      <sheetName val="City R&amp;D"/>
      <sheetName val="Soho"/>
      <sheetName val="Aladdin"/>
      <sheetName val="Cash Flow"/>
    </sheetNames>
    <sheetDataSet>
      <sheetData sheetId="0"/>
      <sheetData sheetId="1"/>
      <sheetData sheetId="2">
        <row r="9">
          <cell r="E9">
            <v>352</v>
          </cell>
        </row>
        <row r="10">
          <cell r="E10">
            <v>352</v>
          </cell>
        </row>
        <row r="11">
          <cell r="E11">
            <v>352</v>
          </cell>
        </row>
        <row r="12">
          <cell r="E12">
            <v>352</v>
          </cell>
        </row>
        <row r="15">
          <cell r="E15">
            <v>1408</v>
          </cell>
        </row>
      </sheetData>
      <sheetData sheetId="3">
        <row r="9">
          <cell r="E9">
            <v>2200</v>
          </cell>
        </row>
        <row r="10">
          <cell r="E10">
            <v>2200</v>
          </cell>
        </row>
        <row r="11">
          <cell r="E11">
            <v>2200</v>
          </cell>
        </row>
        <row r="12">
          <cell r="E12">
            <v>2200</v>
          </cell>
        </row>
        <row r="13">
          <cell r="E13">
            <v>2200</v>
          </cell>
        </row>
        <row r="14">
          <cell r="E14">
            <v>2200</v>
          </cell>
        </row>
        <row r="15">
          <cell r="E15">
            <v>2200</v>
          </cell>
        </row>
        <row r="16">
          <cell r="E16">
            <v>800</v>
          </cell>
        </row>
        <row r="18">
          <cell r="E18">
            <v>1496</v>
          </cell>
        </row>
        <row r="19">
          <cell r="E19">
            <v>1496</v>
          </cell>
        </row>
        <row r="20">
          <cell r="E20">
            <v>1760</v>
          </cell>
        </row>
        <row r="21">
          <cell r="E21">
            <v>1408</v>
          </cell>
        </row>
        <row r="22">
          <cell r="E22">
            <v>616</v>
          </cell>
        </row>
        <row r="23">
          <cell r="E23">
            <v>1496</v>
          </cell>
        </row>
        <row r="24">
          <cell r="E24">
            <v>968</v>
          </cell>
        </row>
        <row r="25">
          <cell r="E25">
            <v>0</v>
          </cell>
        </row>
        <row r="26">
          <cell r="E26">
            <v>440</v>
          </cell>
        </row>
        <row r="28">
          <cell r="E28">
            <v>1000</v>
          </cell>
        </row>
        <row r="29">
          <cell r="E29">
            <v>300</v>
          </cell>
        </row>
        <row r="30">
          <cell r="E30">
            <v>100</v>
          </cell>
        </row>
        <row r="31">
          <cell r="E31">
            <v>300</v>
          </cell>
        </row>
        <row r="32">
          <cell r="E32">
            <v>900</v>
          </cell>
        </row>
        <row r="33">
          <cell r="E33">
            <v>720</v>
          </cell>
        </row>
        <row r="34">
          <cell r="E34">
            <v>2000</v>
          </cell>
        </row>
        <row r="35">
          <cell r="E35">
            <v>60</v>
          </cell>
        </row>
        <row r="36">
          <cell r="E36">
            <v>60</v>
          </cell>
        </row>
        <row r="37">
          <cell r="E37">
            <v>300</v>
          </cell>
        </row>
        <row r="38">
          <cell r="E38">
            <v>275</v>
          </cell>
        </row>
        <row r="40">
          <cell r="E40">
            <v>31895</v>
          </cell>
        </row>
      </sheetData>
      <sheetData sheetId="4"/>
      <sheetData sheetId="5">
        <row r="9">
          <cell r="E9">
            <v>176</v>
          </cell>
        </row>
        <row r="10">
          <cell r="E10">
            <v>176</v>
          </cell>
        </row>
        <row r="11">
          <cell r="E11">
            <v>176</v>
          </cell>
        </row>
        <row r="12">
          <cell r="E12">
            <v>176</v>
          </cell>
        </row>
        <row r="13">
          <cell r="E13">
            <v>176</v>
          </cell>
        </row>
        <row r="17">
          <cell r="E17">
            <v>176</v>
          </cell>
        </row>
        <row r="18">
          <cell r="E18">
            <v>176</v>
          </cell>
        </row>
        <row r="19">
          <cell r="E19">
            <v>176</v>
          </cell>
        </row>
        <row r="22">
          <cell r="E22">
            <v>264</v>
          </cell>
        </row>
        <row r="24">
          <cell r="E24">
            <v>200</v>
          </cell>
        </row>
        <row r="25">
          <cell r="E25">
            <v>300</v>
          </cell>
        </row>
        <row r="26">
          <cell r="E26">
            <v>0</v>
          </cell>
        </row>
        <row r="27">
          <cell r="E27">
            <v>100</v>
          </cell>
        </row>
        <row r="30">
          <cell r="E30">
            <v>2272</v>
          </cell>
        </row>
      </sheetData>
      <sheetData sheetId="6"/>
      <sheetData sheetId="7">
        <row r="9">
          <cell r="E9">
            <v>176</v>
          </cell>
        </row>
        <row r="10">
          <cell r="E10">
            <v>176</v>
          </cell>
        </row>
        <row r="12">
          <cell r="E12">
            <v>176</v>
          </cell>
        </row>
        <row r="13">
          <cell r="E13">
            <v>176</v>
          </cell>
        </row>
        <row r="14">
          <cell r="E14">
            <v>176</v>
          </cell>
        </row>
        <row r="17">
          <cell r="E17">
            <v>220</v>
          </cell>
        </row>
        <row r="19">
          <cell r="E19">
            <v>100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100</v>
          </cell>
        </row>
        <row r="24">
          <cell r="E24">
            <v>1300</v>
          </cell>
        </row>
      </sheetData>
      <sheetData sheetId="8">
        <row r="9">
          <cell r="E9">
            <v>880</v>
          </cell>
        </row>
        <row r="10">
          <cell r="E10">
            <v>880</v>
          </cell>
        </row>
        <row r="11">
          <cell r="E11">
            <v>880</v>
          </cell>
        </row>
        <row r="13">
          <cell r="E13">
            <v>880</v>
          </cell>
        </row>
        <row r="15">
          <cell r="E15">
            <v>0</v>
          </cell>
        </row>
        <row r="16">
          <cell r="E16">
            <v>50</v>
          </cell>
        </row>
        <row r="17">
          <cell r="E17">
            <v>100</v>
          </cell>
        </row>
        <row r="19">
          <cell r="E19">
            <v>3670</v>
          </cell>
        </row>
      </sheetData>
      <sheetData sheetId="9">
        <row r="8">
          <cell r="E8">
            <v>792</v>
          </cell>
        </row>
        <row r="9">
          <cell r="E9">
            <v>528</v>
          </cell>
        </row>
        <row r="10">
          <cell r="E10">
            <v>528</v>
          </cell>
        </row>
        <row r="11">
          <cell r="E11">
            <v>264</v>
          </cell>
        </row>
        <row r="12">
          <cell r="E12">
            <v>400</v>
          </cell>
        </row>
        <row r="13">
          <cell r="E13">
            <v>325</v>
          </cell>
        </row>
        <row r="14">
          <cell r="E14">
            <v>500</v>
          </cell>
        </row>
        <row r="15">
          <cell r="E15">
            <v>100</v>
          </cell>
        </row>
        <row r="17">
          <cell r="E17">
            <v>3437</v>
          </cell>
        </row>
      </sheetData>
      <sheetData sheetId="10">
        <row r="9">
          <cell r="E9">
            <v>1344</v>
          </cell>
        </row>
        <row r="10">
          <cell r="E10">
            <v>1344</v>
          </cell>
        </row>
        <row r="11">
          <cell r="E11">
            <v>1344</v>
          </cell>
        </row>
        <row r="12">
          <cell r="E12">
            <v>1344</v>
          </cell>
        </row>
        <row r="13">
          <cell r="E13">
            <v>1344</v>
          </cell>
        </row>
        <row r="14">
          <cell r="E14">
            <v>1344</v>
          </cell>
        </row>
        <row r="15">
          <cell r="E15">
            <v>1344</v>
          </cell>
        </row>
        <row r="16">
          <cell r="E16">
            <v>1344</v>
          </cell>
        </row>
        <row r="17">
          <cell r="E17">
            <v>1344</v>
          </cell>
        </row>
        <row r="18">
          <cell r="E18">
            <v>896</v>
          </cell>
        </row>
        <row r="20">
          <cell r="E20">
            <v>1064</v>
          </cell>
        </row>
        <row r="21">
          <cell r="E21">
            <v>1064</v>
          </cell>
        </row>
        <row r="23">
          <cell r="E23">
            <v>952</v>
          </cell>
        </row>
        <row r="24">
          <cell r="E24">
            <v>1344</v>
          </cell>
        </row>
        <row r="25">
          <cell r="E25">
            <v>1344</v>
          </cell>
        </row>
        <row r="26">
          <cell r="E26">
            <v>952</v>
          </cell>
        </row>
        <row r="27">
          <cell r="E27">
            <v>952</v>
          </cell>
        </row>
        <row r="28">
          <cell r="E28">
            <v>952</v>
          </cell>
        </row>
        <row r="30">
          <cell r="E30">
            <v>952</v>
          </cell>
        </row>
        <row r="31">
          <cell r="E31">
            <v>392</v>
          </cell>
        </row>
        <row r="33">
          <cell r="E33">
            <v>1400</v>
          </cell>
        </row>
        <row r="35">
          <cell r="E35">
            <v>500</v>
          </cell>
        </row>
        <row r="36">
          <cell r="E36">
            <v>2677.5</v>
          </cell>
        </row>
        <row r="37">
          <cell r="E37">
            <v>300</v>
          </cell>
        </row>
        <row r="38">
          <cell r="E38">
            <v>160</v>
          </cell>
        </row>
        <row r="39">
          <cell r="E39">
            <v>1500</v>
          </cell>
        </row>
        <row r="40">
          <cell r="E40">
            <v>500</v>
          </cell>
        </row>
        <row r="41">
          <cell r="E41">
            <v>390</v>
          </cell>
        </row>
        <row r="42">
          <cell r="E42">
            <v>250</v>
          </cell>
        </row>
        <row r="43">
          <cell r="E43">
            <v>300</v>
          </cell>
        </row>
        <row r="44">
          <cell r="E44">
            <v>60</v>
          </cell>
        </row>
        <row r="46">
          <cell r="E46">
            <v>30997.5</v>
          </cell>
        </row>
      </sheetData>
      <sheetData sheetId="1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7"/>
  <sheetViews>
    <sheetView showGridLines="0" topLeftCell="A16" zoomScale="80" zoomScaleNormal="80" zoomScalePageLayoutView="80" workbookViewId="0">
      <selection activeCell="D22" sqref="D22"/>
    </sheetView>
  </sheetViews>
  <sheetFormatPr defaultColWidth="9.3984375" defaultRowHeight="15" customHeight="1" x14ac:dyDescent="0.25"/>
  <cols>
    <col min="1" max="1" width="9.3984375" style="129" customWidth="1"/>
    <col min="2" max="2" width="10.3984375" style="129" customWidth="1"/>
    <col min="3" max="3" width="40.8984375" style="129" customWidth="1"/>
    <col min="4" max="4" width="16.59765625" style="129" customWidth="1"/>
    <col min="5" max="5" width="9.3984375" style="129" customWidth="1"/>
    <col min="6" max="6" width="37.59765625" style="129" customWidth="1"/>
    <col min="7" max="7" width="29.59765625" style="129" customWidth="1"/>
    <col min="8" max="8" width="15.5" style="129" customWidth="1"/>
    <col min="9" max="10" width="30.19921875" style="129" customWidth="1"/>
    <col min="11" max="11" width="21.09765625" style="129" customWidth="1"/>
    <col min="12" max="12" width="16.19921875" style="129" customWidth="1"/>
    <col min="13" max="256" width="9.3984375" style="129" customWidth="1"/>
    <col min="257" max="16384" width="9.3984375" style="246"/>
  </cols>
  <sheetData>
    <row r="1" spans="1:12" ht="20.100000000000001" customHeight="1" x14ac:dyDescent="0.35">
      <c r="A1" s="124"/>
      <c r="B1" s="124"/>
      <c r="C1" s="125" t="s">
        <v>0</v>
      </c>
      <c r="D1" s="126"/>
      <c r="E1" s="127"/>
      <c r="F1" s="127"/>
      <c r="G1" s="128"/>
      <c r="H1" s="126"/>
      <c r="I1" s="126"/>
      <c r="J1" s="126"/>
      <c r="K1" s="124"/>
      <c r="L1" s="124"/>
    </row>
    <row r="2" spans="1:12" ht="20.100000000000001" customHeight="1" x14ac:dyDescent="0.35">
      <c r="A2" s="124"/>
      <c r="B2" s="124"/>
      <c r="C2" s="125" t="s">
        <v>1</v>
      </c>
      <c r="D2" s="126"/>
      <c r="E2" s="126"/>
      <c r="F2" s="124"/>
      <c r="G2" s="124"/>
      <c r="H2" s="124"/>
      <c r="I2" s="126"/>
      <c r="J2" s="126"/>
      <c r="K2" s="124"/>
      <c r="L2" s="124"/>
    </row>
    <row r="3" spans="1:12" ht="20.100000000000001" customHeight="1" x14ac:dyDescent="0.35">
      <c r="A3" s="124"/>
      <c r="B3" s="124"/>
      <c r="C3" s="130"/>
      <c r="D3" s="124"/>
      <c r="E3" s="127"/>
      <c r="F3" s="124"/>
      <c r="G3" s="124"/>
      <c r="H3" s="124"/>
      <c r="I3" s="126"/>
      <c r="J3" s="126"/>
      <c r="K3" s="124"/>
      <c r="L3" s="124"/>
    </row>
    <row r="4" spans="1:12" ht="20.100000000000001" customHeight="1" x14ac:dyDescent="0.35">
      <c r="A4" s="124"/>
      <c r="B4" s="124"/>
      <c r="C4" s="125" t="s">
        <v>2</v>
      </c>
      <c r="D4" s="131"/>
      <c r="E4" s="132"/>
      <c r="F4" s="124"/>
      <c r="G4" s="124"/>
      <c r="H4" s="124"/>
      <c r="I4" s="126"/>
      <c r="J4" s="126"/>
      <c r="K4" s="124"/>
      <c r="L4" s="124"/>
    </row>
    <row r="5" spans="1:12" ht="18.95" customHeight="1" x14ac:dyDescent="0.25">
      <c r="A5" s="124"/>
      <c r="B5" s="124"/>
      <c r="C5" s="127"/>
      <c r="D5" s="126"/>
      <c r="E5" s="127"/>
      <c r="F5" s="124"/>
      <c r="G5" s="124"/>
      <c r="H5" s="124"/>
      <c r="I5" s="124"/>
      <c r="J5" s="124"/>
      <c r="K5" s="124"/>
      <c r="L5" s="124"/>
    </row>
    <row r="6" spans="1:12" ht="18.95" customHeight="1" x14ac:dyDescent="0.25">
      <c r="A6" s="124"/>
      <c r="B6" s="124"/>
      <c r="C6" s="133" t="s">
        <v>3</v>
      </c>
      <c r="D6" s="134" t="s">
        <v>4</v>
      </c>
      <c r="E6" s="127"/>
      <c r="F6" s="133" t="s">
        <v>3</v>
      </c>
      <c r="G6" s="124"/>
      <c r="H6" s="134" t="s">
        <v>4</v>
      </c>
      <c r="I6" s="124"/>
      <c r="J6" s="124"/>
      <c r="K6" s="124"/>
      <c r="L6" s="124"/>
    </row>
    <row r="7" spans="1:12" ht="18.95" customHeight="1" x14ac:dyDescent="0.25">
      <c r="A7" s="124"/>
      <c r="B7" s="124"/>
      <c r="C7" s="135"/>
      <c r="D7" s="136"/>
      <c r="E7" s="127"/>
      <c r="F7" s="137"/>
      <c r="G7" s="137"/>
      <c r="H7" s="137"/>
      <c r="I7" s="138"/>
      <c r="J7" s="139"/>
      <c r="K7" s="124"/>
      <c r="L7" s="124"/>
    </row>
    <row r="8" spans="1:12" ht="18.95" customHeight="1" x14ac:dyDescent="0.25">
      <c r="A8" s="124"/>
      <c r="B8" s="140" t="s">
        <v>5</v>
      </c>
      <c r="C8" s="141" t="s">
        <v>6</v>
      </c>
      <c r="D8" s="142"/>
      <c r="E8" s="143"/>
      <c r="F8" s="141" t="s">
        <v>7</v>
      </c>
      <c r="G8" s="144"/>
      <c r="H8" s="142"/>
      <c r="I8" s="145"/>
      <c r="J8" s="124"/>
      <c r="K8" s="124"/>
      <c r="L8" s="124"/>
    </row>
    <row r="9" spans="1:12" ht="18.95" customHeight="1" x14ac:dyDescent="0.25">
      <c r="A9" s="124"/>
      <c r="B9" s="146"/>
      <c r="C9" s="147"/>
      <c r="D9" s="148"/>
      <c r="E9" s="143"/>
      <c r="F9" s="149" t="s">
        <v>3</v>
      </c>
      <c r="G9" s="150" t="s">
        <v>8</v>
      </c>
      <c r="H9" s="151" t="s">
        <v>9</v>
      </c>
      <c r="I9" s="145"/>
      <c r="J9" s="124"/>
      <c r="K9" s="124"/>
      <c r="L9" s="124"/>
    </row>
    <row r="10" spans="1:12" ht="18.95" customHeight="1" x14ac:dyDescent="0.25">
      <c r="A10" s="124"/>
      <c r="B10" s="152"/>
      <c r="C10" s="153"/>
      <c r="D10" s="154"/>
      <c r="E10" s="143"/>
      <c r="F10" s="155"/>
      <c r="G10" s="127"/>
      <c r="H10" s="156"/>
      <c r="I10" s="145"/>
      <c r="J10" s="124"/>
      <c r="K10" s="124"/>
      <c r="L10" s="124"/>
    </row>
    <row r="11" spans="1:12" ht="18.95" customHeight="1" x14ac:dyDescent="0.25">
      <c r="A11" s="124"/>
      <c r="B11" s="157"/>
      <c r="C11" s="158" t="s">
        <v>4</v>
      </c>
      <c r="D11" s="159">
        <f>[1]Quiz!E15</f>
        <v>1408</v>
      </c>
      <c r="E11" s="143"/>
      <c r="F11" s="160" t="s">
        <v>10</v>
      </c>
      <c r="G11" s="161" t="s">
        <v>11</v>
      </c>
      <c r="H11" s="156">
        <f>2000+500</f>
        <v>2500</v>
      </c>
      <c r="I11" s="145"/>
      <c r="J11" s="124"/>
      <c r="K11" s="124"/>
      <c r="L11" s="124"/>
    </row>
    <row r="12" spans="1:12" ht="18.95" customHeight="1" x14ac:dyDescent="0.25">
      <c r="A12" s="124"/>
      <c r="B12" s="138"/>
      <c r="C12" s="162"/>
      <c r="D12" s="162"/>
      <c r="E12" s="152"/>
      <c r="F12" s="160" t="s">
        <v>10</v>
      </c>
      <c r="G12" s="161" t="s">
        <v>12</v>
      </c>
      <c r="H12" s="156">
        <v>750</v>
      </c>
      <c r="I12" s="145"/>
      <c r="J12" s="124"/>
      <c r="K12" s="124"/>
      <c r="L12" s="124"/>
    </row>
    <row r="13" spans="1:12" ht="18.95" customHeight="1" x14ac:dyDescent="0.25">
      <c r="A13" s="124"/>
      <c r="B13" s="140" t="s">
        <v>13</v>
      </c>
      <c r="C13" s="141" t="s">
        <v>14</v>
      </c>
      <c r="D13" s="142"/>
      <c r="E13" s="143"/>
      <c r="F13" s="160" t="s">
        <v>10</v>
      </c>
      <c r="G13" s="161" t="s">
        <v>15</v>
      </c>
      <c r="H13" s="163">
        <f>((D55/7)*10)*0.08</f>
        <v>262.08</v>
      </c>
      <c r="I13" s="145"/>
      <c r="J13" s="124"/>
      <c r="K13" s="124"/>
      <c r="L13" s="124"/>
    </row>
    <row r="14" spans="1:12" ht="18.95" customHeight="1" x14ac:dyDescent="0.25">
      <c r="A14" s="124"/>
      <c r="B14" s="146"/>
      <c r="C14" s="147"/>
      <c r="D14" s="148"/>
      <c r="E14" s="143"/>
      <c r="F14" s="160" t="s">
        <v>10</v>
      </c>
      <c r="G14" s="161" t="s">
        <v>16</v>
      </c>
      <c r="H14" s="163">
        <f>D56*0.12</f>
        <v>300</v>
      </c>
      <c r="I14" s="145"/>
      <c r="J14" s="124"/>
      <c r="K14" s="124"/>
      <c r="L14" s="124"/>
    </row>
    <row r="15" spans="1:12" ht="18.95" customHeight="1" x14ac:dyDescent="0.25">
      <c r="A15" s="124"/>
      <c r="B15" s="146"/>
      <c r="C15" s="153"/>
      <c r="D15" s="154"/>
      <c r="E15" s="143"/>
      <c r="F15" s="160" t="s">
        <v>17</v>
      </c>
      <c r="G15" s="161" t="s">
        <v>18</v>
      </c>
      <c r="H15" s="156">
        <v>5000</v>
      </c>
      <c r="I15" s="145"/>
      <c r="J15" s="124"/>
      <c r="K15" s="124"/>
      <c r="L15" s="124"/>
    </row>
    <row r="16" spans="1:12" ht="18.95" customHeight="1" x14ac:dyDescent="0.25">
      <c r="A16" s="124"/>
      <c r="B16" s="146"/>
      <c r="C16" s="158" t="s">
        <v>4</v>
      </c>
      <c r="D16" s="159">
        <f>[1]Pub!E24</f>
        <v>1300</v>
      </c>
      <c r="E16" s="143"/>
      <c r="F16" s="160" t="s">
        <v>17</v>
      </c>
      <c r="G16" s="161" t="s">
        <v>19</v>
      </c>
      <c r="H16" s="156">
        <v>210</v>
      </c>
      <c r="I16" s="145"/>
      <c r="J16" s="124"/>
      <c r="K16" s="124"/>
      <c r="L16" s="124"/>
    </row>
    <row r="17" spans="1:12" ht="18.95" customHeight="1" x14ac:dyDescent="0.25">
      <c r="A17" s="124"/>
      <c r="B17" s="124"/>
      <c r="C17" s="162"/>
      <c r="D17" s="162"/>
      <c r="E17" s="152"/>
      <c r="F17" s="160" t="s">
        <v>20</v>
      </c>
      <c r="G17" s="161" t="s">
        <v>21</v>
      </c>
      <c r="H17" s="156">
        <f>7680/2</f>
        <v>3840</v>
      </c>
      <c r="I17" s="145"/>
      <c r="J17" s="124"/>
      <c r="K17" s="124"/>
      <c r="L17" s="124"/>
    </row>
    <row r="18" spans="1:12" ht="18.95" customHeight="1" x14ac:dyDescent="0.25">
      <c r="A18" s="124"/>
      <c r="B18" s="140" t="s">
        <v>22</v>
      </c>
      <c r="C18" s="141" t="s">
        <v>23</v>
      </c>
      <c r="D18" s="142"/>
      <c r="E18" s="143"/>
      <c r="F18" s="160" t="s">
        <v>24</v>
      </c>
      <c r="G18" s="161" t="s">
        <v>25</v>
      </c>
      <c r="H18" s="156">
        <f>750/2</f>
        <v>375</v>
      </c>
      <c r="I18" s="145"/>
      <c r="J18" s="124"/>
      <c r="K18" s="124"/>
      <c r="L18" s="124"/>
    </row>
    <row r="19" spans="1:12" ht="18.95" customHeight="1" x14ac:dyDescent="0.25">
      <c r="A19" s="124"/>
      <c r="B19" s="152"/>
      <c r="C19" s="147"/>
      <c r="D19" s="148"/>
      <c r="E19" s="143"/>
      <c r="F19" s="160" t="s">
        <v>26</v>
      </c>
      <c r="G19" s="161" t="s">
        <v>27</v>
      </c>
      <c r="H19" s="156">
        <f>5000/2</f>
        <v>2500</v>
      </c>
      <c r="I19" s="145"/>
      <c r="J19" s="124"/>
      <c r="K19" s="124"/>
      <c r="L19" s="124"/>
    </row>
    <row r="20" spans="1:12" ht="18.95" customHeight="1" x14ac:dyDescent="0.25">
      <c r="A20" s="124"/>
      <c r="B20" s="152"/>
      <c r="C20" s="153"/>
      <c r="D20" s="154"/>
      <c r="E20" s="143"/>
      <c r="F20" s="160" t="s">
        <v>24</v>
      </c>
      <c r="G20" s="161" t="s">
        <v>28</v>
      </c>
      <c r="H20" s="156">
        <v>973.4</v>
      </c>
      <c r="I20" s="145"/>
      <c r="J20" s="124"/>
      <c r="K20" s="124"/>
      <c r="L20" s="124"/>
    </row>
    <row r="21" spans="1:12" ht="18.95" customHeight="1" x14ac:dyDescent="0.25">
      <c r="A21" s="124"/>
      <c r="B21" s="152"/>
      <c r="C21" s="158" t="s">
        <v>4</v>
      </c>
      <c r="D21" s="159">
        <f>[1]Halloween!E30</f>
        <v>2272</v>
      </c>
      <c r="E21" s="143"/>
      <c r="F21" s="160" t="s">
        <v>17</v>
      </c>
      <c r="G21" s="161" t="s">
        <v>29</v>
      </c>
      <c r="H21" s="156">
        <f t="shared" ref="H21:H24" si="0">500/2</f>
        <v>250</v>
      </c>
      <c r="I21" s="145"/>
      <c r="J21" s="124"/>
      <c r="K21" s="124"/>
      <c r="L21" s="124"/>
    </row>
    <row r="22" spans="1:12" ht="18.95" customHeight="1" x14ac:dyDescent="0.25">
      <c r="A22" s="124"/>
      <c r="B22" s="124"/>
      <c r="C22" s="162"/>
      <c r="D22" s="162"/>
      <c r="E22" s="152"/>
      <c r="F22" s="160" t="s">
        <v>17</v>
      </c>
      <c r="G22" s="161" t="s">
        <v>30</v>
      </c>
      <c r="H22" s="156">
        <f>0</f>
        <v>0</v>
      </c>
      <c r="I22" s="145"/>
      <c r="J22" s="124"/>
      <c r="K22" s="124"/>
      <c r="L22" s="124"/>
    </row>
    <row r="23" spans="1:12" ht="18.95" customHeight="1" x14ac:dyDescent="0.25">
      <c r="A23" s="124"/>
      <c r="B23" s="140" t="s">
        <v>31</v>
      </c>
      <c r="C23" s="141" t="s">
        <v>32</v>
      </c>
      <c r="D23" s="142"/>
      <c r="E23" s="164"/>
      <c r="F23" s="160" t="s">
        <v>20</v>
      </c>
      <c r="G23" s="161" t="s">
        <v>33</v>
      </c>
      <c r="H23" s="156">
        <f>500</f>
        <v>500</v>
      </c>
      <c r="I23" s="145"/>
      <c r="J23" s="124"/>
      <c r="K23" s="124"/>
      <c r="L23" s="124"/>
    </row>
    <row r="24" spans="1:12" ht="18.95" customHeight="1" x14ac:dyDescent="0.25">
      <c r="A24" s="124"/>
      <c r="B24" s="165"/>
      <c r="C24" s="147"/>
      <c r="D24" s="148"/>
      <c r="E24" s="164"/>
      <c r="F24" s="160" t="s">
        <v>20</v>
      </c>
      <c r="G24" s="161" t="s">
        <v>34</v>
      </c>
      <c r="H24" s="156">
        <f t="shared" si="0"/>
        <v>250</v>
      </c>
      <c r="I24" s="145"/>
      <c r="J24" s="124"/>
      <c r="K24" s="124"/>
      <c r="L24" s="124"/>
    </row>
    <row r="25" spans="1:12" ht="18.95" customHeight="1" x14ac:dyDescent="0.25">
      <c r="A25" s="124"/>
      <c r="B25" s="146"/>
      <c r="C25" s="153"/>
      <c r="D25" s="154"/>
      <c r="E25" s="143"/>
      <c r="F25" s="153"/>
      <c r="G25" s="166"/>
      <c r="H25" s="154"/>
      <c r="I25" s="145"/>
      <c r="J25" s="124"/>
      <c r="K25" s="124"/>
      <c r="L25" s="124"/>
    </row>
    <row r="26" spans="1:12" ht="18.95" customHeight="1" x14ac:dyDescent="0.25">
      <c r="A26" s="124"/>
      <c r="B26" s="146"/>
      <c r="C26" s="158" t="s">
        <v>4</v>
      </c>
      <c r="D26" s="159">
        <f>[1]Soho!E17</f>
        <v>3437</v>
      </c>
      <c r="E26" s="164"/>
      <c r="F26" s="158" t="s">
        <v>4</v>
      </c>
      <c r="G26" s="167"/>
      <c r="H26" s="159">
        <f>SUM(H11:H24)</f>
        <v>17710.48</v>
      </c>
      <c r="I26" s="145"/>
      <c r="J26" s="124"/>
      <c r="K26" s="124"/>
      <c r="L26" s="124"/>
    </row>
    <row r="27" spans="1:12" ht="18.95" customHeight="1" x14ac:dyDescent="0.25">
      <c r="A27" s="124"/>
      <c r="B27" s="124"/>
      <c r="C27" s="162"/>
      <c r="D27" s="168"/>
      <c r="E27" s="169"/>
      <c r="F27" s="170"/>
      <c r="G27" s="170"/>
      <c r="H27" s="171"/>
      <c r="I27" s="124"/>
      <c r="J27" s="124"/>
      <c r="K27" s="124"/>
      <c r="L27" s="124"/>
    </row>
    <row r="28" spans="1:12" ht="18.95" customHeight="1" x14ac:dyDescent="0.25">
      <c r="A28" s="124"/>
      <c r="B28" s="140" t="s">
        <v>35</v>
      </c>
      <c r="C28" s="141" t="s">
        <v>36</v>
      </c>
      <c r="D28" s="142"/>
      <c r="E28" s="145"/>
      <c r="F28" s="124"/>
      <c r="G28" s="124"/>
      <c r="H28" s="124"/>
      <c r="I28" s="124"/>
      <c r="J28" s="124"/>
      <c r="K28" s="124"/>
      <c r="L28" s="124"/>
    </row>
    <row r="29" spans="1:12" ht="18.95" customHeight="1" x14ac:dyDescent="0.25">
      <c r="A29" s="124"/>
      <c r="B29" s="165"/>
      <c r="C29" s="147"/>
      <c r="D29" s="148"/>
      <c r="E29" s="172"/>
      <c r="F29" s="137"/>
      <c r="G29" s="137"/>
      <c r="H29" s="137"/>
      <c r="I29" s="124"/>
      <c r="J29" s="124"/>
      <c r="K29" s="124"/>
      <c r="L29" s="124"/>
    </row>
    <row r="30" spans="1:12" ht="18.95" customHeight="1" x14ac:dyDescent="0.25">
      <c r="A30" s="124"/>
      <c r="B30" s="146"/>
      <c r="C30" s="153"/>
      <c r="D30" s="154"/>
      <c r="E30" s="173"/>
      <c r="F30" s="141" t="s">
        <v>37</v>
      </c>
      <c r="G30" s="144"/>
      <c r="H30" s="142"/>
      <c r="I30" s="145"/>
      <c r="J30" s="124"/>
      <c r="K30" s="124"/>
      <c r="L30" s="124"/>
    </row>
    <row r="31" spans="1:12" ht="18.95" customHeight="1" x14ac:dyDescent="0.25">
      <c r="A31" s="124"/>
      <c r="B31" s="146"/>
      <c r="C31" s="158" t="s">
        <v>4</v>
      </c>
      <c r="D31" s="159">
        <f>[1]Aladdin!E46</f>
        <v>30997.5</v>
      </c>
      <c r="E31" s="173"/>
      <c r="F31" s="149" t="s">
        <v>3</v>
      </c>
      <c r="G31" s="150" t="s">
        <v>8</v>
      </c>
      <c r="H31" s="151" t="s">
        <v>9</v>
      </c>
      <c r="I31" s="145"/>
      <c r="J31" s="124"/>
      <c r="K31" s="124"/>
      <c r="L31" s="124"/>
    </row>
    <row r="32" spans="1:12" ht="18.95" customHeight="1" x14ac:dyDescent="0.25">
      <c r="A32" s="124"/>
      <c r="B32" s="169"/>
      <c r="C32" s="162"/>
      <c r="D32" s="162"/>
      <c r="E32" s="165"/>
      <c r="F32" s="155"/>
      <c r="G32" s="127"/>
      <c r="H32" s="156"/>
      <c r="I32" s="145"/>
      <c r="J32" s="124"/>
      <c r="K32" s="124"/>
      <c r="L32" s="124"/>
    </row>
    <row r="33" spans="1:12" ht="18.95" customHeight="1" x14ac:dyDescent="0.25">
      <c r="A33" s="124"/>
      <c r="B33" s="140" t="s">
        <v>38</v>
      </c>
      <c r="C33" s="141" t="s">
        <v>39</v>
      </c>
      <c r="D33" s="142"/>
      <c r="E33" s="174"/>
      <c r="F33" s="175"/>
      <c r="G33" s="161" t="s">
        <v>40</v>
      </c>
      <c r="H33" s="156">
        <f>(D11+D16+D21+D26+D31+D36+D41+H26)*0.03</f>
        <v>2780.6994</v>
      </c>
      <c r="I33" s="145"/>
      <c r="J33" s="124"/>
      <c r="K33" s="124"/>
      <c r="L33" s="124"/>
    </row>
    <row r="34" spans="1:12" ht="18.95" customHeight="1" x14ac:dyDescent="0.25">
      <c r="A34" s="124"/>
      <c r="B34" s="152"/>
      <c r="C34" s="176"/>
      <c r="D34" s="148"/>
      <c r="E34" s="174"/>
      <c r="F34" s="160" t="s">
        <v>41</v>
      </c>
      <c r="G34" s="161" t="s">
        <v>42</v>
      </c>
      <c r="H34" s="156">
        <v>2806</v>
      </c>
      <c r="I34" s="145"/>
      <c r="J34" s="124"/>
      <c r="K34" s="124"/>
      <c r="L34" s="124"/>
    </row>
    <row r="35" spans="1:12" ht="18.95" customHeight="1" x14ac:dyDescent="0.25">
      <c r="A35" s="124"/>
      <c r="B35" s="146"/>
      <c r="C35" s="153"/>
      <c r="D35" s="154"/>
      <c r="E35" s="174"/>
      <c r="F35" s="153"/>
      <c r="G35" s="166"/>
      <c r="H35" s="154"/>
      <c r="I35" s="145"/>
      <c r="J35" s="124"/>
      <c r="K35" s="124"/>
      <c r="L35" s="124"/>
    </row>
    <row r="36" spans="1:12" ht="18.95" customHeight="1" x14ac:dyDescent="0.25">
      <c r="A36" s="124"/>
      <c r="B36" s="146"/>
      <c r="C36" s="158" t="s">
        <v>4</v>
      </c>
      <c r="D36" s="159">
        <f>'[1]City R&amp;D'!E19</f>
        <v>3670</v>
      </c>
      <c r="E36" s="174"/>
      <c r="F36" s="158" t="s">
        <v>4</v>
      </c>
      <c r="G36" s="167"/>
      <c r="H36" s="159">
        <f>H34</f>
        <v>2806</v>
      </c>
      <c r="I36" s="145"/>
      <c r="J36" s="124"/>
      <c r="K36" s="124"/>
      <c r="L36" s="124"/>
    </row>
    <row r="37" spans="1:12" ht="18.95" customHeight="1" x14ac:dyDescent="0.25">
      <c r="A37" s="124"/>
      <c r="B37" s="124"/>
      <c r="C37" s="162"/>
      <c r="D37" s="162"/>
      <c r="E37" s="126"/>
      <c r="F37" s="177"/>
      <c r="G37" s="177"/>
      <c r="H37" s="177"/>
      <c r="I37" s="124"/>
      <c r="J37" s="124"/>
      <c r="K37" s="124"/>
      <c r="L37" s="124"/>
    </row>
    <row r="38" spans="1:12" ht="18.95" customHeight="1" x14ac:dyDescent="0.25">
      <c r="A38" s="124"/>
      <c r="B38" s="140" t="s">
        <v>43</v>
      </c>
      <c r="C38" s="141" t="s">
        <v>44</v>
      </c>
      <c r="D38" s="142"/>
      <c r="E38" s="175"/>
      <c r="F38" s="124"/>
      <c r="G38" s="124"/>
      <c r="H38" s="124"/>
      <c r="I38" s="124"/>
      <c r="J38" s="124"/>
      <c r="K38" s="124"/>
      <c r="L38" s="124"/>
    </row>
    <row r="39" spans="1:12" ht="18.95" customHeight="1" x14ac:dyDescent="0.25">
      <c r="A39" s="124"/>
      <c r="B39" s="165"/>
      <c r="C39" s="176"/>
      <c r="D39" s="148"/>
      <c r="E39" s="175"/>
      <c r="F39" s="124"/>
      <c r="G39" s="124"/>
      <c r="H39" s="124"/>
      <c r="I39" s="124"/>
      <c r="J39" s="124"/>
      <c r="K39" s="124"/>
      <c r="L39" s="124"/>
    </row>
    <row r="40" spans="1:12" ht="18.95" customHeight="1" x14ac:dyDescent="0.25">
      <c r="A40" s="124"/>
      <c r="B40" s="165"/>
      <c r="C40" s="153"/>
      <c r="D40" s="154"/>
      <c r="E40" s="175"/>
      <c r="F40" s="127"/>
      <c r="G40" s="126"/>
      <c r="H40" s="127"/>
      <c r="I40" s="124"/>
      <c r="J40" s="124"/>
      <c r="K40" s="124"/>
      <c r="L40" s="124"/>
    </row>
    <row r="41" spans="1:12" ht="18.95" customHeight="1" x14ac:dyDescent="0.25">
      <c r="A41" s="124"/>
      <c r="B41" s="165"/>
      <c r="C41" s="158" t="s">
        <v>4</v>
      </c>
      <c r="D41" s="159">
        <f>'[1]Mercury Fur'!E40</f>
        <v>31895</v>
      </c>
      <c r="E41" s="145"/>
      <c r="F41" s="127"/>
      <c r="G41" s="126"/>
      <c r="H41" s="127"/>
      <c r="I41" s="124"/>
      <c r="J41" s="124"/>
      <c r="K41" s="124"/>
      <c r="L41" s="124"/>
    </row>
    <row r="42" spans="1:12" ht="18.95" customHeight="1" x14ac:dyDescent="0.25">
      <c r="A42" s="124"/>
      <c r="B42" s="124"/>
      <c r="C42" s="177"/>
      <c r="D42" s="177"/>
      <c r="E42" s="124"/>
      <c r="F42" s="124"/>
      <c r="G42" s="124"/>
      <c r="H42" s="124"/>
      <c r="I42" s="124"/>
      <c r="J42" s="124"/>
      <c r="K42" s="124"/>
      <c r="L42" s="124"/>
    </row>
    <row r="43" spans="1:12" ht="18.95" customHeight="1" x14ac:dyDescent="0.25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2" ht="15.95" customHeight="1" thickBot="1" x14ac:dyDescent="0.3">
      <c r="A44" s="124"/>
      <c r="B44" s="178"/>
      <c r="C44" s="178"/>
      <c r="D44" s="178"/>
      <c r="E44" s="178"/>
      <c r="F44" s="178"/>
      <c r="G44" s="178"/>
      <c r="H44" s="178"/>
      <c r="I44" s="124"/>
      <c r="J44" s="124"/>
      <c r="K44" s="124"/>
      <c r="L44" s="124"/>
    </row>
    <row r="45" spans="1:12" ht="19.5" customHeight="1" x14ac:dyDescent="0.25">
      <c r="A45" s="179"/>
      <c r="B45" s="180"/>
      <c r="C45" s="181"/>
      <c r="D45" s="182"/>
      <c r="E45" s="183"/>
      <c r="F45" s="184"/>
      <c r="G45" s="181"/>
      <c r="H45" s="185"/>
      <c r="I45" s="186"/>
      <c r="J45" s="124"/>
      <c r="K45" s="124"/>
      <c r="L45" s="124"/>
    </row>
    <row r="46" spans="1:12" ht="20.100000000000001" customHeight="1" x14ac:dyDescent="0.35">
      <c r="A46" s="179"/>
      <c r="B46" s="187"/>
      <c r="C46" s="188" t="s">
        <v>45</v>
      </c>
      <c r="D46" s="189"/>
      <c r="E46" s="190"/>
      <c r="F46" s="191" t="s">
        <v>46</v>
      </c>
      <c r="G46" s="192"/>
      <c r="H46" s="193"/>
      <c r="I46" s="186"/>
      <c r="J46" s="124"/>
      <c r="K46" s="124"/>
      <c r="L46" s="124"/>
    </row>
    <row r="47" spans="1:12" ht="18.95" customHeight="1" x14ac:dyDescent="0.25">
      <c r="A47" s="179"/>
      <c r="B47" s="194"/>
      <c r="C47" s="195"/>
      <c r="D47" s="196"/>
      <c r="E47" s="197"/>
      <c r="F47" s="198"/>
      <c r="G47" s="199"/>
      <c r="H47" s="200"/>
      <c r="I47" s="186"/>
      <c r="J47" s="124"/>
      <c r="K47" s="124"/>
      <c r="L47" s="124"/>
    </row>
    <row r="48" spans="1:12" ht="18.95" customHeight="1" x14ac:dyDescent="0.25">
      <c r="A48" s="179"/>
      <c r="B48" s="201"/>
      <c r="C48" s="133" t="s">
        <v>47</v>
      </c>
      <c r="D48" s="202" t="s">
        <v>4</v>
      </c>
      <c r="E48" s="203"/>
      <c r="F48" s="204" t="s">
        <v>48</v>
      </c>
      <c r="G48" s="134" t="s">
        <v>4</v>
      </c>
      <c r="H48" s="205"/>
      <c r="I48" s="186"/>
      <c r="J48" s="124"/>
      <c r="K48" s="124"/>
      <c r="L48" s="124"/>
    </row>
    <row r="49" spans="1:12" ht="18.95" customHeight="1" x14ac:dyDescent="0.25">
      <c r="A49" s="179"/>
      <c r="B49" s="201"/>
      <c r="C49" s="127"/>
      <c r="D49" s="206"/>
      <c r="E49" s="203"/>
      <c r="F49" s="207"/>
      <c r="G49" s="126"/>
      <c r="H49" s="205"/>
      <c r="I49" s="186"/>
      <c r="J49" s="124"/>
      <c r="K49" s="124"/>
      <c r="L49" s="127"/>
    </row>
    <row r="50" spans="1:12" ht="18.95" customHeight="1" x14ac:dyDescent="0.25">
      <c r="A50" s="179"/>
      <c r="B50" s="201"/>
      <c r="C50" s="133" t="s">
        <v>49</v>
      </c>
      <c r="D50" s="208"/>
      <c r="E50" s="203"/>
      <c r="F50" s="204" t="s">
        <v>10</v>
      </c>
      <c r="G50" s="209"/>
      <c r="H50" s="205"/>
      <c r="I50" s="186"/>
      <c r="J50" s="124"/>
      <c r="K50" s="124"/>
      <c r="L50" s="127"/>
    </row>
    <row r="51" spans="1:12" ht="18.95" customHeight="1" x14ac:dyDescent="0.25">
      <c r="A51" s="179"/>
      <c r="B51" s="201"/>
      <c r="C51" s="210"/>
      <c r="D51" s="211"/>
      <c r="E51" s="203"/>
      <c r="F51" s="212" t="s">
        <v>50</v>
      </c>
      <c r="G51" s="126">
        <f>SUM([1]Quiz!E9:E12)+SUM('[1]Mercury Fur'!E9:E16)+SUM([1]Pub!E9:E10)+SUM([1]Halloween!E9:E13)+SUM([1]Soho!E8)+SUM([1]Aladdin!E9:E18)</f>
        <v>32624</v>
      </c>
      <c r="H51" s="213"/>
      <c r="I51" s="124"/>
      <c r="J51" s="127"/>
      <c r="K51" s="124"/>
      <c r="L51" s="127"/>
    </row>
    <row r="52" spans="1:12" ht="18.95" customHeight="1" x14ac:dyDescent="0">
      <c r="A52" s="179"/>
      <c r="B52" s="201"/>
      <c r="C52" s="161" t="s">
        <v>51</v>
      </c>
      <c r="D52" s="206">
        <v>500</v>
      </c>
      <c r="E52" s="203"/>
      <c r="F52" s="212" t="s">
        <v>52</v>
      </c>
      <c r="G52" s="126">
        <f>SUM([1]Halloween!E15)+SUM([1]Soho!E9)+SUM([1]Aladdin!E20:E21)</f>
        <v>2656</v>
      </c>
      <c r="H52" s="205"/>
      <c r="I52" s="186"/>
      <c r="J52" s="127"/>
      <c r="K52" s="124"/>
      <c r="L52" s="127"/>
    </row>
    <row r="53" spans="1:12" ht="18.95" customHeight="1" x14ac:dyDescent="0">
      <c r="A53" s="179"/>
      <c r="B53" s="201"/>
      <c r="C53" s="214" t="s">
        <v>53</v>
      </c>
      <c r="D53" s="215">
        <f>(17*7*(100*0.75))</f>
        <v>8925</v>
      </c>
      <c r="E53" s="203"/>
      <c r="F53" s="212" t="s">
        <v>54</v>
      </c>
      <c r="G53" s="126">
        <f>SUM('[1]Mercury Fur'!E18:E25)+SUM([1]Pub!E12:E14)+SUM([1]Halloween!E17:E19)+SUM('[1]City R&amp;D'!E9:E11)+SUM([1]Soho!E10:E11)+SUM([1]Aladdin!E23:E31)</f>
        <v>21568</v>
      </c>
      <c r="H53" s="205"/>
      <c r="I53" s="186"/>
      <c r="J53" s="127"/>
      <c r="K53" s="124"/>
      <c r="L53" s="126"/>
    </row>
    <row r="54" spans="1:12" ht="18.95" customHeight="1" x14ac:dyDescent="0">
      <c r="A54" s="179"/>
      <c r="B54" s="201"/>
      <c r="C54" s="214" t="s">
        <v>55</v>
      </c>
      <c r="D54" s="216">
        <f>800*2</f>
        <v>1600</v>
      </c>
      <c r="E54" s="217"/>
      <c r="F54" s="212" t="s">
        <v>56</v>
      </c>
      <c r="G54" s="126">
        <f>[1]Pub!E17+'[1]Mercury Fur'!E26+[1]Halloween!E22+'[1]City R&amp;D'!E13+[1]Aladdin!E33+H11</f>
        <v>5704</v>
      </c>
      <c r="H54" s="205"/>
      <c r="I54" s="186"/>
      <c r="J54" s="124"/>
      <c r="K54" s="124"/>
      <c r="L54" s="126"/>
    </row>
    <row r="55" spans="1:12" ht="18.95" customHeight="1" x14ac:dyDescent="0">
      <c r="A55" s="179"/>
      <c r="B55" s="201"/>
      <c r="C55" s="214" t="s">
        <v>57</v>
      </c>
      <c r="D55" s="218">
        <f>140*13*2*0.6*0.7+(140*13*0.6*0.7)</f>
        <v>2293.1999999999998</v>
      </c>
      <c r="E55" s="217"/>
      <c r="F55" s="212" t="s">
        <v>58</v>
      </c>
      <c r="G55" s="219">
        <f>H13+H12+H14</f>
        <v>1312.08</v>
      </c>
      <c r="H55" s="205"/>
      <c r="I55" s="186"/>
      <c r="J55" s="127"/>
      <c r="K55" s="124"/>
      <c r="L55" s="127"/>
    </row>
    <row r="56" spans="1:12" ht="18.95" customHeight="1" x14ac:dyDescent="0">
      <c r="A56" s="179"/>
      <c r="B56" s="201"/>
      <c r="C56" s="220" t="s">
        <v>59</v>
      </c>
      <c r="D56" s="221">
        <f>25*10*10</f>
        <v>2500</v>
      </c>
      <c r="E56" s="203"/>
      <c r="F56" s="212" t="s">
        <v>60</v>
      </c>
      <c r="G56" s="126">
        <f>SUM('[1]Mercury Fur'!E32:E33)+[1]Halloween!E24+[1]Halloween!E27+SUM([1]Aladdin!E40:E41)</f>
        <v>2810</v>
      </c>
      <c r="H56" s="205"/>
      <c r="I56" s="186"/>
      <c r="J56" s="124"/>
      <c r="K56" s="124"/>
      <c r="L56" s="127"/>
    </row>
    <row r="57" spans="1:12" ht="18.95" customHeight="1" x14ac:dyDescent="0">
      <c r="A57" s="179"/>
      <c r="B57" s="201"/>
      <c r="C57" s="214" t="s">
        <v>61</v>
      </c>
      <c r="D57" s="215">
        <f>0</f>
        <v>0</v>
      </c>
      <c r="E57" s="203"/>
      <c r="F57" s="212" t="s">
        <v>62</v>
      </c>
      <c r="G57" s="126">
        <f>'[1]Mercury Fur'!E29+[1]Pub!E22+[1]Halloween!E26+[1]Aladdin!E36+[1]Aladdin!E37</f>
        <v>3377.5</v>
      </c>
      <c r="H57" s="205"/>
      <c r="I57" s="186"/>
      <c r="J57" s="124"/>
      <c r="K57" s="124"/>
      <c r="L57" s="124"/>
    </row>
    <row r="58" spans="1:12" ht="18.95" customHeight="1" x14ac:dyDescent="0">
      <c r="A58" s="179"/>
      <c r="B58" s="201"/>
      <c r="C58" s="214" t="s">
        <v>63</v>
      </c>
      <c r="D58" s="216">
        <f>50*11</f>
        <v>550</v>
      </c>
      <c r="E58" s="217"/>
      <c r="F58" s="212" t="s">
        <v>64</v>
      </c>
      <c r="G58" s="126">
        <f>'[1]Mercury Fur'!E30+[1]Soho!E15/2+[1]Aladdin!E43</f>
        <v>450</v>
      </c>
      <c r="H58" s="205"/>
      <c r="I58" s="186"/>
      <c r="J58" s="124"/>
      <c r="K58" s="124"/>
      <c r="L58" s="124"/>
    </row>
    <row r="59" spans="1:12" ht="18.95" customHeight="1" x14ac:dyDescent="0">
      <c r="A59" s="179"/>
      <c r="B59" s="201"/>
      <c r="C59" s="124"/>
      <c r="D59" s="124"/>
      <c r="E59" s="217"/>
      <c r="F59" s="212" t="s">
        <v>65</v>
      </c>
      <c r="G59" s="126">
        <f>'[1]Mercury Fur'!E31+[1]Soho!E15/2+[1]Aladdin!E42</f>
        <v>600</v>
      </c>
      <c r="H59" s="205"/>
      <c r="I59" s="186"/>
      <c r="J59" s="124"/>
      <c r="K59" s="124"/>
      <c r="L59" s="124"/>
    </row>
    <row r="60" spans="1:12" ht="18.95" customHeight="1" x14ac:dyDescent="0">
      <c r="A60" s="179"/>
      <c r="B60" s="201"/>
      <c r="C60" s="161" t="s">
        <v>66</v>
      </c>
      <c r="D60" s="206">
        <f>D11</f>
        <v>1408</v>
      </c>
      <c r="E60" s="203"/>
      <c r="F60" s="212" t="s">
        <v>67</v>
      </c>
      <c r="G60" s="126">
        <f>'[1]Mercury Fur'!E34+[1]Pub!E20+'[1]City R&amp;D'!E15+[1]Soho!E13</f>
        <v>2325</v>
      </c>
      <c r="H60" s="205"/>
      <c r="I60" s="186"/>
      <c r="J60" s="124"/>
      <c r="K60" s="124"/>
      <c r="L60" s="124"/>
    </row>
    <row r="61" spans="1:12" ht="18.95" customHeight="1" x14ac:dyDescent="0">
      <c r="A61" s="179"/>
      <c r="B61" s="201"/>
      <c r="C61" s="124"/>
      <c r="D61" s="206"/>
      <c r="E61" s="203"/>
      <c r="F61" s="212" t="s">
        <v>68</v>
      </c>
      <c r="G61" s="126">
        <f>'[1]Mercury Fur'!E36+'[1]Mercury Fur'!E38+[1]Halloween!E28+'[1]City R&amp;D'!E17+[1]Aladdin!E44</f>
        <v>495</v>
      </c>
      <c r="H61" s="205"/>
      <c r="I61" s="186"/>
      <c r="J61" s="124"/>
      <c r="K61" s="124"/>
      <c r="L61" s="124"/>
    </row>
    <row r="62" spans="1:12" ht="18.95" customHeight="1" x14ac:dyDescent="0">
      <c r="A62" s="179"/>
      <c r="B62" s="201"/>
      <c r="C62" s="133" t="s">
        <v>69</v>
      </c>
      <c r="D62" s="208"/>
      <c r="E62" s="203"/>
      <c r="F62" s="212" t="s">
        <v>70</v>
      </c>
      <c r="G62" s="126">
        <f>'[1]Mercury Fur'!E37+'[1]Mercury Fur'!E35+[1]Pub!E21+'[1]City R&amp;D'!E16+[1]Soho!E12</f>
        <v>810</v>
      </c>
      <c r="H62" s="205"/>
      <c r="I62" s="201"/>
      <c r="J62" s="124"/>
      <c r="K62" s="124"/>
      <c r="L62" s="124"/>
    </row>
    <row r="63" spans="1:12" ht="18.95" customHeight="1" x14ac:dyDescent="0">
      <c r="A63" s="179"/>
      <c r="B63" s="201"/>
      <c r="C63" s="161" t="s">
        <v>71</v>
      </c>
      <c r="D63" s="206">
        <f>5000*0.5</f>
        <v>2500</v>
      </c>
      <c r="E63" s="203"/>
      <c r="F63" s="222"/>
      <c r="G63" s="127"/>
      <c r="H63" s="205"/>
      <c r="I63" s="201"/>
      <c r="J63" s="124"/>
      <c r="K63" s="124"/>
      <c r="L63" s="124"/>
    </row>
    <row r="64" spans="1:12" ht="18.95" customHeight="1" x14ac:dyDescent="0">
      <c r="A64" s="179"/>
      <c r="B64" s="201"/>
      <c r="C64" s="124"/>
      <c r="D64" s="206"/>
      <c r="E64" s="203"/>
      <c r="F64" s="204" t="s">
        <v>72</v>
      </c>
      <c r="G64" s="209"/>
      <c r="H64" s="205"/>
      <c r="I64" s="186"/>
      <c r="J64" s="124"/>
      <c r="K64" s="124"/>
      <c r="L64" s="124"/>
    </row>
    <row r="65" spans="1:12" ht="18.95" customHeight="1" x14ac:dyDescent="0">
      <c r="A65" s="179"/>
      <c r="B65" s="201"/>
      <c r="C65" s="133" t="s">
        <v>73</v>
      </c>
      <c r="D65" s="208"/>
      <c r="E65" s="203"/>
      <c r="F65" s="212" t="s">
        <v>74</v>
      </c>
      <c r="G65" s="126">
        <f>H15</f>
        <v>5000</v>
      </c>
      <c r="H65" s="205"/>
      <c r="I65" s="201"/>
      <c r="J65" s="124"/>
      <c r="K65" s="124"/>
      <c r="L65" s="124"/>
    </row>
    <row r="66" spans="1:12" ht="18.95" customHeight="1" x14ac:dyDescent="0">
      <c r="A66" s="179"/>
      <c r="B66" s="201"/>
      <c r="C66" s="161" t="s">
        <v>75</v>
      </c>
      <c r="D66" s="206">
        <f>18000+500</f>
        <v>18500</v>
      </c>
      <c r="E66" s="203"/>
      <c r="F66" s="212" t="s">
        <v>76</v>
      </c>
      <c r="G66" s="126">
        <f>H21</f>
        <v>250</v>
      </c>
      <c r="H66" s="205"/>
      <c r="I66" s="201"/>
      <c r="J66" s="124"/>
      <c r="K66" s="124"/>
      <c r="L66" s="124"/>
    </row>
    <row r="67" spans="1:12" ht="18.95" customHeight="1" x14ac:dyDescent="0">
      <c r="A67" s="179"/>
      <c r="B67" s="201"/>
      <c r="C67" s="124"/>
      <c r="D67" s="124"/>
      <c r="E67" s="217"/>
      <c r="F67" s="212" t="s">
        <v>77</v>
      </c>
      <c r="G67" s="126">
        <f>H16</f>
        <v>210</v>
      </c>
      <c r="H67" s="205"/>
      <c r="I67" s="201"/>
      <c r="J67" s="124"/>
      <c r="K67" s="124"/>
      <c r="L67" s="124"/>
    </row>
    <row r="68" spans="1:12" ht="18.95" customHeight="1" x14ac:dyDescent="0">
      <c r="A68" s="179"/>
      <c r="B68" s="201"/>
      <c r="C68" s="133" t="s">
        <v>78</v>
      </c>
      <c r="D68" s="208"/>
      <c r="E68" s="207"/>
      <c r="F68" s="124"/>
      <c r="G68" s="127"/>
      <c r="H68" s="205"/>
      <c r="I68" s="201"/>
      <c r="J68" s="124"/>
      <c r="K68" s="124"/>
      <c r="L68" s="124"/>
    </row>
    <row r="69" spans="1:12" ht="18.95" customHeight="1" x14ac:dyDescent="0">
      <c r="A69" s="179"/>
      <c r="B69" s="201"/>
      <c r="C69" s="127"/>
      <c r="D69" s="206"/>
      <c r="E69" s="203"/>
      <c r="F69" s="204" t="s">
        <v>20</v>
      </c>
      <c r="G69" s="209"/>
      <c r="H69" s="205"/>
      <c r="I69" s="201"/>
      <c r="J69" s="127"/>
      <c r="K69" s="124"/>
      <c r="L69" s="124"/>
    </row>
    <row r="70" spans="1:12" ht="18.95" customHeight="1" x14ac:dyDescent="0">
      <c r="A70" s="179"/>
      <c r="B70" s="201"/>
      <c r="C70" s="161" t="s">
        <v>79</v>
      </c>
      <c r="D70" s="206">
        <v>39970</v>
      </c>
      <c r="E70" s="203"/>
      <c r="F70" s="212" t="s">
        <v>80</v>
      </c>
      <c r="G70" s="126">
        <f>'[1]Mercury Fur'!E28+[1]Pub!E19+[1]Halloween!E25+[1]Soho!E14+[1]Aladdin!E35+[1]Aladdin!E39+[1]Aladdin!E38</f>
        <v>4060</v>
      </c>
      <c r="H70" s="205"/>
      <c r="I70" s="186"/>
      <c r="J70" s="127"/>
      <c r="K70" s="124"/>
      <c r="L70" s="124"/>
    </row>
    <row r="71" spans="1:12" ht="18.95" customHeight="1" x14ac:dyDescent="0">
      <c r="A71" s="179"/>
      <c r="B71" s="201"/>
      <c r="C71" s="161" t="s">
        <v>81</v>
      </c>
      <c r="D71" s="206">
        <v>15000</v>
      </c>
      <c r="E71" s="203"/>
      <c r="F71" s="212" t="s">
        <v>82</v>
      </c>
      <c r="G71" s="126">
        <f>H23</f>
        <v>500</v>
      </c>
      <c r="H71" s="205"/>
      <c r="I71" s="201"/>
      <c r="J71" s="127"/>
      <c r="K71" s="124"/>
      <c r="L71" s="124"/>
    </row>
    <row r="72" spans="1:12" ht="18.95" customHeight="1" x14ac:dyDescent="0">
      <c r="A72" s="179"/>
      <c r="B72" s="201"/>
      <c r="C72" s="161" t="s">
        <v>83</v>
      </c>
      <c r="D72" s="206">
        <v>1500</v>
      </c>
      <c r="E72" s="203"/>
      <c r="F72" s="212" t="s">
        <v>84</v>
      </c>
      <c r="G72" s="126">
        <f>H17</f>
        <v>3840</v>
      </c>
      <c r="H72" s="205"/>
      <c r="I72" s="201"/>
      <c r="J72" s="127"/>
      <c r="K72" s="124"/>
      <c r="L72" s="124"/>
    </row>
    <row r="73" spans="1:12" ht="18.95" customHeight="1" x14ac:dyDescent="0">
      <c r="A73" s="179"/>
      <c r="B73" s="201"/>
      <c r="C73" s="214" t="s">
        <v>85</v>
      </c>
      <c r="D73" s="216">
        <v>250</v>
      </c>
      <c r="E73" s="217"/>
      <c r="F73" s="212" t="s">
        <v>86</v>
      </c>
      <c r="G73" s="126">
        <f>H24</f>
        <v>250</v>
      </c>
      <c r="H73" s="205"/>
      <c r="I73" s="201"/>
      <c r="J73" s="127"/>
      <c r="K73" s="124"/>
      <c r="L73" s="124"/>
    </row>
    <row r="74" spans="1:12" ht="18.95" customHeight="1" x14ac:dyDescent="0">
      <c r="A74" s="179"/>
      <c r="B74" s="201"/>
      <c r="C74" s="223"/>
      <c r="D74" s="216"/>
      <c r="E74" s="217"/>
      <c r="F74" s="207"/>
      <c r="G74" s="127"/>
      <c r="H74" s="205"/>
      <c r="I74" s="201"/>
      <c r="J74" s="127"/>
      <c r="K74" s="124"/>
      <c r="L74" s="124"/>
    </row>
    <row r="75" spans="1:12" ht="18.95" customHeight="1" x14ac:dyDescent="0">
      <c r="A75" s="179"/>
      <c r="B75" s="201"/>
      <c r="C75" s="133" t="s">
        <v>87</v>
      </c>
      <c r="D75" s="206"/>
      <c r="E75" s="203"/>
      <c r="F75" s="204" t="s">
        <v>24</v>
      </c>
      <c r="G75" s="209"/>
      <c r="H75" s="205"/>
      <c r="I75" s="201"/>
      <c r="J75" s="124"/>
      <c r="K75" s="124"/>
      <c r="L75" s="124"/>
    </row>
    <row r="76" spans="1:12" ht="18.95" customHeight="1" x14ac:dyDescent="0">
      <c r="A76" s="179"/>
      <c r="B76" s="201"/>
      <c r="C76" s="161" t="s">
        <v>88</v>
      </c>
      <c r="D76" s="206">
        <f>D52+SUM(D60:D72)-D70</f>
        <v>39408</v>
      </c>
      <c r="E76" s="203"/>
      <c r="F76" s="212" t="s">
        <v>89</v>
      </c>
      <c r="G76" s="126">
        <f>H18</f>
        <v>375</v>
      </c>
      <c r="H76" s="205"/>
      <c r="I76" s="201"/>
      <c r="J76" s="124"/>
      <c r="K76" s="124"/>
      <c r="L76" s="124"/>
    </row>
    <row r="77" spans="1:12" ht="18.95" customHeight="1" x14ac:dyDescent="0">
      <c r="A77" s="179"/>
      <c r="B77" s="201"/>
      <c r="C77" s="161" t="s">
        <v>90</v>
      </c>
      <c r="D77" s="126">
        <f>D52+SUM(D60:D72)</f>
        <v>79378</v>
      </c>
      <c r="E77" s="217"/>
      <c r="F77" s="212" t="s">
        <v>28</v>
      </c>
      <c r="G77" s="126">
        <f>H20</f>
        <v>973.4</v>
      </c>
      <c r="H77" s="205"/>
      <c r="I77" s="201"/>
      <c r="J77" s="124"/>
      <c r="K77" s="124"/>
      <c r="L77" s="124"/>
    </row>
    <row r="78" spans="1:12" ht="18.95" customHeight="1" x14ac:dyDescent="0">
      <c r="A78" s="179"/>
      <c r="B78" s="201"/>
      <c r="C78" s="214" t="s">
        <v>91</v>
      </c>
      <c r="D78" s="221">
        <f>SUM(D53:D58)+SUM(D73)</f>
        <v>16118.2</v>
      </c>
      <c r="E78" s="203"/>
      <c r="F78" s="207"/>
      <c r="G78" s="126"/>
      <c r="H78" s="205"/>
      <c r="I78" s="201"/>
      <c r="J78" s="124"/>
      <c r="K78" s="124"/>
      <c r="L78" s="124"/>
    </row>
    <row r="79" spans="1:12" ht="18.95" customHeight="1" x14ac:dyDescent="0">
      <c r="A79" s="179"/>
      <c r="B79" s="201"/>
      <c r="C79" s="124"/>
      <c r="D79" s="124"/>
      <c r="E79" s="217"/>
      <c r="F79" s="204" t="s">
        <v>26</v>
      </c>
      <c r="G79" s="209"/>
      <c r="H79" s="205"/>
      <c r="I79" s="201"/>
      <c r="J79" s="124"/>
      <c r="K79" s="124"/>
      <c r="L79" s="124"/>
    </row>
    <row r="80" spans="1:12" ht="18.95" customHeight="1" x14ac:dyDescent="0">
      <c r="A80" s="179"/>
      <c r="B80" s="201"/>
      <c r="C80" s="161" t="s">
        <v>92</v>
      </c>
      <c r="D80" s="126">
        <f>D70</f>
        <v>39970</v>
      </c>
      <c r="E80" s="217"/>
      <c r="F80" s="212" t="s">
        <v>93</v>
      </c>
      <c r="G80" s="126">
        <f>H19</f>
        <v>2500</v>
      </c>
      <c r="H80" s="205"/>
      <c r="I80" s="186"/>
      <c r="J80" s="124"/>
      <c r="K80" s="124"/>
      <c r="L80" s="124"/>
    </row>
    <row r="81" spans="1:12" ht="18.95" customHeight="1" x14ac:dyDescent="0">
      <c r="A81" s="179"/>
      <c r="B81" s="201"/>
      <c r="C81" s="161" t="s">
        <v>94</v>
      </c>
      <c r="D81" s="126">
        <f>D76+D78</f>
        <v>55526.2</v>
      </c>
      <c r="E81" s="217"/>
      <c r="F81" s="207"/>
      <c r="G81" s="127"/>
      <c r="H81" s="205"/>
      <c r="I81" s="201"/>
      <c r="J81" s="124"/>
      <c r="K81" s="124"/>
      <c r="L81" s="124"/>
    </row>
    <row r="82" spans="1:12" ht="18.95" customHeight="1" x14ac:dyDescent="0">
      <c r="A82" s="179"/>
      <c r="B82" s="201"/>
      <c r="C82" s="124"/>
      <c r="D82" s="124"/>
      <c r="E82" s="217"/>
      <c r="F82" s="204" t="s">
        <v>41</v>
      </c>
      <c r="G82" s="209"/>
      <c r="H82" s="205"/>
      <c r="I82" s="186"/>
      <c r="J82" s="124"/>
      <c r="K82" s="124"/>
      <c r="L82" s="124"/>
    </row>
    <row r="83" spans="1:12" ht="18.95" customHeight="1" x14ac:dyDescent="0">
      <c r="A83" s="179"/>
      <c r="B83" s="201"/>
      <c r="C83" s="124"/>
      <c r="D83" s="124"/>
      <c r="E83" s="217"/>
      <c r="F83" s="212" t="s">
        <v>40</v>
      </c>
      <c r="G83" s="126">
        <f>H36</f>
        <v>2806</v>
      </c>
      <c r="H83" s="205"/>
      <c r="I83" s="201"/>
      <c r="J83" s="124"/>
      <c r="K83" s="124"/>
      <c r="L83" s="124"/>
    </row>
    <row r="84" spans="1:12" ht="18.95" customHeight="1" x14ac:dyDescent="0">
      <c r="A84" s="179"/>
      <c r="B84" s="224"/>
      <c r="C84" s="225"/>
      <c r="D84" s="226"/>
      <c r="E84" s="227"/>
      <c r="F84" s="228"/>
      <c r="G84" s="229"/>
      <c r="H84" s="230"/>
      <c r="I84" s="201"/>
      <c r="J84" s="124"/>
      <c r="K84" s="124"/>
      <c r="L84" s="124"/>
    </row>
    <row r="85" spans="1:12" ht="18.95" customHeight="1" x14ac:dyDescent="0">
      <c r="A85" s="179"/>
      <c r="B85" s="187"/>
      <c r="C85" s="231" t="s">
        <v>95</v>
      </c>
      <c r="D85" s="232">
        <f>SUM(D52:D73)</f>
        <v>95496.2</v>
      </c>
      <c r="E85" s="190"/>
      <c r="F85" s="233" t="s">
        <v>96</v>
      </c>
      <c r="G85" s="234">
        <f>SUM(G51:G83)</f>
        <v>95495.98</v>
      </c>
      <c r="H85" s="193"/>
      <c r="I85" s="201"/>
      <c r="J85" s="124"/>
      <c r="K85" s="124"/>
      <c r="L85" s="124"/>
    </row>
    <row r="86" spans="1:12" ht="20.100000000000001" customHeight="1" x14ac:dyDescent="0">
      <c r="A86" s="179"/>
      <c r="B86" s="235"/>
      <c r="C86" s="188" t="s">
        <v>45</v>
      </c>
      <c r="D86" s="236">
        <f>D77+D78</f>
        <v>95496.2</v>
      </c>
      <c r="E86" s="237"/>
      <c r="F86" s="191" t="s">
        <v>46</v>
      </c>
      <c r="G86" s="238">
        <f>D11+D16+D21+D26+D31+D36+D41+H26+H36</f>
        <v>95495.98</v>
      </c>
      <c r="H86" s="239"/>
      <c r="I86" s="201"/>
      <c r="J86" s="124"/>
      <c r="K86" s="124"/>
      <c r="L86" s="124"/>
    </row>
    <row r="87" spans="1:12" ht="15.95" customHeight="1" thickBot="1" x14ac:dyDescent="0">
      <c r="A87" s="179"/>
      <c r="B87" s="240"/>
      <c r="C87" s="241"/>
      <c r="D87" s="242"/>
      <c r="E87" s="243"/>
      <c r="F87" s="244"/>
      <c r="G87" s="241"/>
      <c r="H87" s="245"/>
      <c r="I87" s="186"/>
      <c r="J87" s="124"/>
      <c r="K87" s="124"/>
      <c r="L87" s="124"/>
    </row>
  </sheetData>
  <pageMargins left="0.75" right="0.75" top="1" bottom="1" header="0.5" footer="0.5"/>
  <pageSetup orientation="portrait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43"/>
  <sheetViews>
    <sheetView showGridLines="0" tabSelected="1" topLeftCell="A19" zoomScale="80" zoomScaleNormal="80" zoomScalePageLayoutView="80" workbookViewId="0">
      <selection activeCell="G30" sqref="G30"/>
    </sheetView>
  </sheetViews>
  <sheetFormatPr defaultColWidth="9.3984375" defaultRowHeight="15" customHeight="1" x14ac:dyDescent="0.25"/>
  <cols>
    <col min="1" max="1" width="9.3984375" style="75" customWidth="1"/>
    <col min="2" max="2" width="10.3984375" style="75" customWidth="1"/>
    <col min="3" max="3" width="40.8984375" style="75" customWidth="1"/>
    <col min="4" max="4" width="16.59765625" style="75" customWidth="1"/>
    <col min="5" max="5" width="9.3984375" style="75" customWidth="1"/>
    <col min="6" max="7" width="30.19921875" style="75" customWidth="1"/>
    <col min="8" max="8" width="21.09765625" style="75" customWidth="1"/>
    <col min="9" max="9" width="16.19921875" style="75" customWidth="1"/>
    <col min="10" max="253" width="9.3984375" style="75" customWidth="1"/>
  </cols>
  <sheetData>
    <row r="1" spans="1:9" ht="20.100000000000001" customHeight="1" x14ac:dyDescent="0.35">
      <c r="A1" s="1"/>
      <c r="B1" s="1"/>
      <c r="C1" s="2" t="s">
        <v>0</v>
      </c>
      <c r="D1" s="3"/>
      <c r="E1" s="4"/>
      <c r="F1" s="3"/>
      <c r="G1" s="3"/>
      <c r="H1" s="1"/>
      <c r="I1" s="1"/>
    </row>
    <row r="2" spans="1:9" ht="20.100000000000001" customHeight="1" x14ac:dyDescent="0.35">
      <c r="A2" s="1"/>
      <c r="B2" s="1"/>
      <c r="C2" s="2"/>
      <c r="D2" s="3"/>
      <c r="E2" s="3"/>
      <c r="F2" s="3"/>
      <c r="G2" s="3"/>
      <c r="H2" s="1"/>
      <c r="I2" s="1"/>
    </row>
    <row r="3" spans="1:9" ht="20.100000000000001" customHeight="1" x14ac:dyDescent="0.35">
      <c r="A3" s="1"/>
      <c r="B3" s="1"/>
      <c r="C3" s="2" t="s">
        <v>184</v>
      </c>
      <c r="D3" s="1"/>
      <c r="E3" s="4"/>
      <c r="F3" s="3"/>
      <c r="G3" s="3"/>
      <c r="H3" s="1"/>
      <c r="I3" s="1"/>
    </row>
    <row r="4" spans="1:9" ht="20.100000000000001" customHeight="1" x14ac:dyDescent="0.3">
      <c r="A4" s="1"/>
      <c r="B4" s="1"/>
      <c r="D4" s="5"/>
      <c r="E4" s="6"/>
      <c r="F4" s="3"/>
      <c r="G4" s="3"/>
      <c r="H4" s="1"/>
      <c r="I4" s="1"/>
    </row>
    <row r="5" spans="1:9" ht="18.95" customHeight="1" x14ac:dyDescent="0.25">
      <c r="A5" s="1"/>
      <c r="B5" s="1"/>
      <c r="C5" s="4"/>
      <c r="D5" s="3"/>
      <c r="E5" s="4"/>
      <c r="F5" s="1"/>
      <c r="G5" s="1"/>
      <c r="H5" s="1"/>
      <c r="I5" s="1"/>
    </row>
    <row r="6" spans="1:9" ht="18.95" customHeight="1" x14ac:dyDescent="0.25">
      <c r="A6" s="1"/>
      <c r="B6" s="1"/>
      <c r="C6" s="7" t="s">
        <v>3</v>
      </c>
      <c r="D6" s="8" t="s">
        <v>4</v>
      </c>
      <c r="E6" s="4"/>
      <c r="F6" s="1"/>
      <c r="G6" s="1"/>
      <c r="H6" s="1"/>
      <c r="I6" s="1"/>
    </row>
    <row r="7" spans="1:9" ht="18.95" customHeight="1" x14ac:dyDescent="0.25">
      <c r="A7" s="1"/>
      <c r="B7" s="1"/>
      <c r="C7" s="9"/>
      <c r="D7" s="10"/>
      <c r="F7" s="121"/>
      <c r="G7" s="121"/>
      <c r="H7" s="93"/>
      <c r="I7" s="1"/>
    </row>
    <row r="8" spans="1:9" ht="18.95" customHeight="1" x14ac:dyDescent="0.25">
      <c r="A8" s="1"/>
      <c r="B8" s="12" t="s">
        <v>5</v>
      </c>
      <c r="C8" s="13" t="s">
        <v>187</v>
      </c>
      <c r="D8" s="14"/>
      <c r="E8" s="12" t="s">
        <v>35</v>
      </c>
      <c r="F8" s="13" t="s">
        <v>177</v>
      </c>
      <c r="G8" s="14"/>
      <c r="H8" s="93"/>
      <c r="I8" s="1"/>
    </row>
    <row r="9" spans="1:9" ht="18.95" customHeight="1" x14ac:dyDescent="0.25">
      <c r="A9" s="1"/>
      <c r="B9" s="15"/>
      <c r="C9" s="16"/>
      <c r="D9" s="17"/>
      <c r="E9" s="28"/>
      <c r="F9" s="16"/>
      <c r="G9" s="17"/>
      <c r="H9" s="93"/>
      <c r="I9" s="1"/>
    </row>
    <row r="10" spans="1:9" ht="18.95" customHeight="1" x14ac:dyDescent="0.25">
      <c r="A10" s="1"/>
      <c r="B10" s="18"/>
      <c r="C10" s="19"/>
      <c r="D10" s="20"/>
      <c r="E10" s="15"/>
      <c r="F10" s="19"/>
      <c r="G10" s="20"/>
      <c r="H10" s="93"/>
      <c r="I10" s="1"/>
    </row>
    <row r="11" spans="1:9" ht="18.95" customHeight="1" x14ac:dyDescent="0.25">
      <c r="A11" s="1"/>
      <c r="B11" s="22"/>
      <c r="C11" s="23" t="s">
        <v>188</v>
      </c>
      <c r="D11" s="24">
        <f>'Overall Budget'!D11/2</f>
        <v>704</v>
      </c>
      <c r="E11" s="15"/>
      <c r="F11" s="23" t="s">
        <v>4</v>
      </c>
      <c r="G11" s="24">
        <f>0</f>
        <v>0</v>
      </c>
      <c r="H11" s="93"/>
      <c r="I11" s="1"/>
    </row>
    <row r="12" spans="1:9" ht="18.95" customHeight="1" x14ac:dyDescent="0.25">
      <c r="A12" s="1"/>
      <c r="B12" s="11"/>
      <c r="C12" s="26"/>
      <c r="D12" s="26"/>
      <c r="E12" s="29"/>
      <c r="F12" s="26"/>
      <c r="G12" s="26"/>
      <c r="H12" s="1"/>
      <c r="I12" s="1"/>
    </row>
    <row r="13" spans="1:9" ht="18.95" customHeight="1" x14ac:dyDescent="0.25">
      <c r="A13" s="1"/>
      <c r="B13" s="12" t="s">
        <v>13</v>
      </c>
      <c r="C13" s="13" t="s">
        <v>189</v>
      </c>
      <c r="D13" s="14"/>
      <c r="E13" s="12" t="s">
        <v>38</v>
      </c>
      <c r="F13" s="13" t="s">
        <v>191</v>
      </c>
      <c r="G13" s="14"/>
      <c r="H13" s="1"/>
      <c r="I13" s="1"/>
    </row>
    <row r="14" spans="1:9" ht="18.95" customHeight="1" x14ac:dyDescent="0.25">
      <c r="A14" s="1"/>
      <c r="B14" s="15"/>
      <c r="C14" s="16"/>
      <c r="D14" s="17"/>
      <c r="E14" s="18"/>
      <c r="F14" s="31"/>
      <c r="G14" s="17"/>
      <c r="H14" s="1"/>
      <c r="I14" s="1"/>
    </row>
    <row r="15" spans="1:9" ht="18.95" customHeight="1" x14ac:dyDescent="0.25">
      <c r="A15" s="1"/>
      <c r="B15" s="15"/>
      <c r="C15" s="19"/>
      <c r="D15" s="20"/>
      <c r="E15" s="15"/>
      <c r="F15" s="19"/>
      <c r="G15" s="20"/>
      <c r="H15" s="1"/>
      <c r="I15" s="1"/>
    </row>
    <row r="16" spans="1:9" ht="18.95" customHeight="1" x14ac:dyDescent="0.25">
      <c r="A16" s="1"/>
      <c r="B16" s="15"/>
      <c r="C16" s="23" t="s">
        <v>188</v>
      </c>
      <c r="D16" s="24">
        <v>0</v>
      </c>
      <c r="E16" s="15"/>
      <c r="F16" s="23" t="s">
        <v>4</v>
      </c>
      <c r="G16" s="24">
        <f>0</f>
        <v>0</v>
      </c>
      <c r="H16" s="1"/>
      <c r="I16" s="1"/>
    </row>
    <row r="17" spans="1:9" ht="18.95" customHeight="1" x14ac:dyDescent="0.25">
      <c r="A17" s="1"/>
      <c r="B17" s="1"/>
      <c r="C17" s="26"/>
      <c r="D17" s="26"/>
      <c r="E17" s="1"/>
      <c r="F17" s="106"/>
      <c r="G17" s="106"/>
      <c r="H17" s="93"/>
      <c r="I17" s="1"/>
    </row>
    <row r="18" spans="1:9" ht="18.95" customHeight="1" x14ac:dyDescent="0.25">
      <c r="A18" s="1"/>
      <c r="B18" s="12" t="s">
        <v>22</v>
      </c>
      <c r="C18" s="13" t="s">
        <v>170</v>
      </c>
      <c r="D18" s="14"/>
      <c r="E18" s="117" t="s">
        <v>43</v>
      </c>
      <c r="F18" s="94" t="s">
        <v>122</v>
      </c>
      <c r="G18" s="95"/>
      <c r="H18" s="93"/>
      <c r="I18" s="1"/>
    </row>
    <row r="19" spans="1:9" ht="18.95" customHeight="1" x14ac:dyDescent="0.25">
      <c r="A19" s="1"/>
      <c r="B19" s="18"/>
      <c r="C19" s="16"/>
      <c r="D19" s="17"/>
      <c r="E19" s="103"/>
      <c r="F19" s="119"/>
      <c r="G19" s="96"/>
      <c r="H19" s="93"/>
      <c r="I19" s="1"/>
    </row>
    <row r="20" spans="1:9" ht="18.95" customHeight="1" x14ac:dyDescent="0.25">
      <c r="A20" s="1"/>
      <c r="B20" s="18"/>
      <c r="C20" s="19"/>
      <c r="D20" s="20"/>
      <c r="E20" s="103"/>
      <c r="F20" s="97"/>
      <c r="G20" s="98"/>
      <c r="H20" s="93"/>
      <c r="I20" s="1"/>
    </row>
    <row r="21" spans="1:9" ht="18.95" customHeight="1" x14ac:dyDescent="0.25">
      <c r="A21" s="1"/>
      <c r="B21" s="18"/>
      <c r="C21" s="23" t="s">
        <v>188</v>
      </c>
      <c r="D21" s="115">
        <f>'Halloween Expenses'!L7</f>
        <v>134.79000000000002</v>
      </c>
      <c r="E21" s="118"/>
      <c r="F21" s="99" t="s">
        <v>4</v>
      </c>
      <c r="G21" s="100">
        <f>'MF Expenses'!L7</f>
        <v>12330.73</v>
      </c>
      <c r="H21" s="93"/>
      <c r="I21" s="1"/>
    </row>
    <row r="22" spans="1:9" ht="18.95" customHeight="1" x14ac:dyDescent="0.25">
      <c r="A22" s="1"/>
      <c r="B22" s="105"/>
      <c r="C22" s="106"/>
      <c r="D22" s="116"/>
      <c r="E22" s="25"/>
      <c r="F22" s="49"/>
      <c r="G22" s="49"/>
      <c r="H22" s="1"/>
      <c r="I22" s="1"/>
    </row>
    <row r="23" spans="1:9" ht="18.95" customHeight="1" x14ac:dyDescent="0.25">
      <c r="A23" s="38"/>
      <c r="B23" s="92" t="s">
        <v>31</v>
      </c>
      <c r="C23" s="109" t="s">
        <v>190</v>
      </c>
      <c r="D23" s="110"/>
      <c r="E23" s="117" t="s">
        <v>185</v>
      </c>
      <c r="F23" s="94" t="s">
        <v>186</v>
      </c>
      <c r="G23" s="95"/>
      <c r="H23" s="93"/>
      <c r="I23" s="1"/>
    </row>
    <row r="24" spans="1:9" ht="18.95" customHeight="1" x14ac:dyDescent="0.25">
      <c r="A24" s="38"/>
      <c r="B24" s="90"/>
      <c r="C24" s="111"/>
      <c r="D24" s="112"/>
      <c r="E24" s="103"/>
      <c r="F24" s="119"/>
      <c r="G24" s="96"/>
      <c r="H24" s="93"/>
      <c r="I24" s="1"/>
    </row>
    <row r="25" spans="1:9" ht="18.95" customHeight="1" x14ac:dyDescent="0.25">
      <c r="A25" s="38"/>
      <c r="B25" s="89"/>
      <c r="C25" s="111"/>
      <c r="D25" s="112"/>
      <c r="E25" s="103"/>
      <c r="F25" s="97"/>
      <c r="G25" s="98"/>
      <c r="H25" s="93"/>
      <c r="I25" s="1"/>
    </row>
    <row r="26" spans="1:9" ht="18.95" customHeight="1" x14ac:dyDescent="0.25">
      <c r="A26" s="38"/>
      <c r="B26" s="89"/>
      <c r="C26" s="113" t="s">
        <v>188</v>
      </c>
      <c r="D26" s="114">
        <f>0</f>
        <v>0</v>
      </c>
      <c r="E26" s="118"/>
      <c r="F26" s="99" t="s">
        <v>4</v>
      </c>
      <c r="G26" s="100">
        <f>'General Expenses'!L7</f>
        <v>4064.8</v>
      </c>
      <c r="H26" s="93"/>
      <c r="I26" s="1"/>
    </row>
    <row r="27" spans="1:9" ht="18.95" customHeight="1" x14ac:dyDescent="0.25">
      <c r="A27" s="38"/>
      <c r="B27" s="107"/>
      <c r="C27" s="108"/>
      <c r="D27" s="108"/>
      <c r="E27" s="101"/>
      <c r="F27" s="120"/>
      <c r="G27" s="73"/>
      <c r="H27" s="1"/>
      <c r="I27" s="1"/>
    </row>
    <row r="28" spans="1:9" ht="18.95" customHeight="1" x14ac:dyDescent="0.25">
      <c r="A28" s="38"/>
      <c r="B28" s="107"/>
      <c r="E28" s="102"/>
      <c r="F28" s="91"/>
      <c r="G28" s="1"/>
      <c r="H28" s="1"/>
      <c r="I28" s="1"/>
    </row>
    <row r="29" spans="1:9" ht="18.95" customHeight="1" x14ac:dyDescent="0.25">
      <c r="A29" s="38"/>
      <c r="B29" s="247"/>
      <c r="C29" s="248"/>
      <c r="D29" s="248"/>
      <c r="E29" s="249"/>
      <c r="F29" s="91"/>
      <c r="G29" s="1"/>
      <c r="H29" s="1"/>
      <c r="I29" s="1"/>
    </row>
    <row r="30" spans="1:9" ht="18.95" customHeight="1" x14ac:dyDescent="0.25">
      <c r="A30" s="38"/>
      <c r="B30" s="250"/>
      <c r="C30" s="122" t="s">
        <v>192</v>
      </c>
      <c r="D30" s="123">
        <f>D11+D16+D21+D26+G11+G16+G21+G26</f>
        <v>17234.32</v>
      </c>
      <c r="E30" s="251"/>
      <c r="F30" s="91"/>
      <c r="G30" s="1"/>
      <c r="H30" s="1"/>
      <c r="I30" s="1"/>
    </row>
    <row r="31" spans="1:9" ht="18.95" customHeight="1" x14ac:dyDescent="0.25">
      <c r="A31" s="38"/>
      <c r="B31" s="252"/>
      <c r="C31" s="253"/>
      <c r="D31" s="253"/>
      <c r="E31" s="254"/>
      <c r="F31" s="91"/>
      <c r="G31" s="1"/>
      <c r="H31" s="1"/>
      <c r="I31" s="1"/>
    </row>
    <row r="32" spans="1:9" ht="18.95" customHeight="1" x14ac:dyDescent="0.25">
      <c r="A32" s="38"/>
      <c r="B32" s="107"/>
      <c r="C32" s="107"/>
      <c r="D32" s="107"/>
      <c r="E32" s="103"/>
      <c r="F32" s="91"/>
      <c r="G32" s="1"/>
      <c r="H32" s="1"/>
      <c r="I32" s="1"/>
    </row>
    <row r="33" spans="1:9" ht="18.95" customHeight="1" x14ac:dyDescent="0.25">
      <c r="A33" s="38"/>
      <c r="B33" s="107"/>
      <c r="C33" s="107"/>
      <c r="D33" s="107"/>
      <c r="E33" s="104"/>
      <c r="F33" s="91"/>
      <c r="G33" s="1"/>
      <c r="H33" s="1"/>
      <c r="I33" s="1"/>
    </row>
    <row r="34" spans="1:9" ht="18.95" customHeight="1" x14ac:dyDescent="0.25">
      <c r="A34" s="38"/>
      <c r="B34" s="107"/>
      <c r="C34" s="107"/>
      <c r="D34" s="107"/>
      <c r="E34" s="104"/>
      <c r="F34" s="91"/>
      <c r="G34" s="1"/>
      <c r="H34" s="1"/>
      <c r="I34" s="1"/>
    </row>
    <row r="35" spans="1:9" ht="18.95" customHeight="1" x14ac:dyDescent="0.25">
      <c r="A35" s="38"/>
      <c r="B35" s="107"/>
      <c r="C35" s="107"/>
      <c r="D35" s="107"/>
      <c r="E35" s="104"/>
      <c r="F35" s="91"/>
      <c r="G35" s="1"/>
      <c r="H35" s="1"/>
      <c r="I35" s="1"/>
    </row>
    <row r="36" spans="1:9" ht="18.95" customHeight="1" x14ac:dyDescent="0.25">
      <c r="A36" s="38"/>
      <c r="B36" s="107"/>
      <c r="C36" s="107"/>
      <c r="D36" s="107"/>
      <c r="E36" s="104"/>
      <c r="F36" s="91"/>
      <c r="G36" s="1"/>
      <c r="H36" s="1"/>
      <c r="I36" s="1"/>
    </row>
    <row r="37" spans="1:9" ht="18.95" customHeight="1" x14ac:dyDescent="0.25">
      <c r="A37" s="38"/>
      <c r="B37" s="107"/>
      <c r="C37" s="107"/>
      <c r="D37" s="107"/>
      <c r="E37" s="104"/>
      <c r="F37" s="91"/>
      <c r="G37" s="1"/>
      <c r="H37" s="1"/>
      <c r="I37" s="1"/>
    </row>
    <row r="38" spans="1:9" ht="18.95" customHeight="1" x14ac:dyDescent="0.25">
      <c r="A38" s="38"/>
      <c r="B38" s="107"/>
      <c r="C38" s="107"/>
      <c r="D38" s="107"/>
      <c r="E38" s="104"/>
      <c r="F38" s="91"/>
      <c r="G38" s="1"/>
      <c r="H38" s="1"/>
      <c r="I38" s="1"/>
    </row>
    <row r="39" spans="1:9" ht="18.95" customHeight="1" x14ac:dyDescent="0.25">
      <c r="A39" s="38"/>
      <c r="B39" s="107"/>
      <c r="C39" s="107"/>
      <c r="D39" s="107"/>
      <c r="E39" s="104"/>
      <c r="F39" s="91"/>
      <c r="G39" s="1"/>
      <c r="H39" s="1"/>
      <c r="I39" s="1"/>
    </row>
    <row r="40" spans="1:9" ht="18.95" customHeight="1" x14ac:dyDescent="0.25">
      <c r="A40" s="38"/>
      <c r="B40" s="107"/>
      <c r="C40" s="107"/>
      <c r="D40" s="107"/>
      <c r="E40" s="104"/>
      <c r="F40" s="91"/>
      <c r="G40" s="1"/>
      <c r="H40" s="1"/>
      <c r="I40" s="1"/>
    </row>
    <row r="41" spans="1:9" ht="18.95" customHeight="1" x14ac:dyDescent="0.25">
      <c r="A41" s="38"/>
      <c r="B41" s="107"/>
      <c r="C41" s="107"/>
      <c r="D41" s="107"/>
      <c r="E41" s="102"/>
      <c r="F41" s="91"/>
      <c r="G41" s="1"/>
      <c r="H41" s="1"/>
      <c r="I41" s="1"/>
    </row>
    <row r="42" spans="1:9" ht="18.95" customHeight="1" x14ac:dyDescent="0.25">
      <c r="A42" s="1"/>
      <c r="B42" s="73"/>
      <c r="C42" s="73"/>
      <c r="D42" s="73"/>
      <c r="E42" s="38"/>
      <c r="F42" s="91"/>
      <c r="G42" s="1"/>
      <c r="H42" s="1"/>
      <c r="I42" s="1"/>
    </row>
    <row r="43" spans="1:9" ht="18.95" customHeight="1" x14ac:dyDescent="0.25">
      <c r="A43" s="1"/>
      <c r="B43" s="1"/>
      <c r="C43" s="1"/>
      <c r="D43" s="1"/>
      <c r="E43" s="38"/>
      <c r="F43" s="91"/>
      <c r="G43" s="1"/>
      <c r="H43" s="1"/>
      <c r="I43" s="1"/>
    </row>
  </sheetData>
  <pageMargins left="0.75" right="0.75" top="1" bottom="1" header="0.5" footer="0.5"/>
  <pageSetup orientation="portrait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7"/>
  <sheetViews>
    <sheetView showGridLines="0" topLeftCell="E1" workbookViewId="0">
      <selection activeCell="B9" sqref="B9"/>
    </sheetView>
  </sheetViews>
  <sheetFormatPr defaultColWidth="9.3984375" defaultRowHeight="15" customHeight="1" x14ac:dyDescent="0.25"/>
  <cols>
    <col min="1" max="3" width="9.3984375" style="33" customWidth="1"/>
    <col min="4" max="4" width="13.8984375" style="33" customWidth="1"/>
    <col min="5" max="5" width="19.19921875" style="33" customWidth="1"/>
    <col min="6" max="6" width="23.69921875" style="33" customWidth="1"/>
    <col min="7" max="7" width="39.8984375" style="33" customWidth="1"/>
    <col min="8" max="8" width="13.59765625" style="33" customWidth="1"/>
    <col min="9" max="10" width="9.3984375" style="33" customWidth="1"/>
    <col min="11" max="11" width="7.09765625" style="33" customWidth="1"/>
    <col min="12" max="12" width="29.59765625" style="33" customWidth="1"/>
    <col min="13" max="13" width="12.3984375" style="33" customWidth="1"/>
    <col min="14" max="14" width="11.19921875" style="33" customWidth="1"/>
    <col min="15" max="15" width="18" style="33" customWidth="1"/>
    <col min="16" max="256" width="9.3984375" style="33" customWidth="1"/>
  </cols>
  <sheetData>
    <row r="1" spans="1:15" ht="18.9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95" customHeight="1" x14ac:dyDescent="0.25">
      <c r="A2" s="1"/>
      <c r="B2" s="34" t="s">
        <v>97</v>
      </c>
      <c r="C2" s="34" t="s">
        <v>98</v>
      </c>
      <c r="D2" s="34" t="s">
        <v>99</v>
      </c>
      <c r="E2" s="34" t="s">
        <v>100</v>
      </c>
      <c r="F2" s="34" t="s">
        <v>101</v>
      </c>
      <c r="G2" s="34" t="s">
        <v>8</v>
      </c>
      <c r="H2" s="34" t="s">
        <v>102</v>
      </c>
      <c r="I2" s="34" t="s">
        <v>103</v>
      </c>
      <c r="J2" s="4"/>
      <c r="K2" s="4"/>
      <c r="L2" s="4"/>
      <c r="M2" s="3"/>
      <c r="N2" s="3"/>
      <c r="O2" s="3"/>
    </row>
    <row r="3" spans="1:15" ht="18.95" customHeight="1" x14ac:dyDescent="0.25">
      <c r="A3" s="1"/>
      <c r="B3" s="35"/>
      <c r="C3" s="3"/>
      <c r="D3" s="4"/>
      <c r="E3" s="4"/>
      <c r="F3" s="4"/>
      <c r="G3" s="4"/>
      <c r="H3" s="4"/>
      <c r="I3" s="4"/>
      <c r="J3" s="4"/>
      <c r="K3" s="36"/>
      <c r="L3" s="36"/>
      <c r="M3" s="37"/>
      <c r="N3" s="37"/>
      <c r="O3" s="37"/>
    </row>
    <row r="4" spans="1:15" ht="18.95" customHeight="1" x14ac:dyDescent="0.25">
      <c r="A4" s="38"/>
      <c r="B4" s="39">
        <v>1</v>
      </c>
      <c r="C4" s="40">
        <v>252</v>
      </c>
      <c r="D4" s="25" t="s">
        <v>104</v>
      </c>
      <c r="E4" s="41">
        <v>42257</v>
      </c>
      <c r="F4" s="25" t="s">
        <v>19</v>
      </c>
      <c r="G4" s="25" t="s">
        <v>105</v>
      </c>
      <c r="H4" s="25" t="s">
        <v>106</v>
      </c>
      <c r="I4" s="25" t="s">
        <v>106</v>
      </c>
      <c r="J4" s="42"/>
      <c r="K4" s="43"/>
      <c r="L4" s="44"/>
      <c r="M4" s="45"/>
      <c r="N4" s="45"/>
      <c r="O4" s="46"/>
    </row>
    <row r="5" spans="1:15" ht="18.95" customHeight="1" x14ac:dyDescent="0.25">
      <c r="A5" s="38"/>
      <c r="B5" s="39">
        <v>2</v>
      </c>
      <c r="C5" s="40">
        <v>30.4</v>
      </c>
      <c r="D5" s="25" t="s">
        <v>107</v>
      </c>
      <c r="E5" s="41">
        <v>42262</v>
      </c>
      <c r="F5" s="25" t="s">
        <v>29</v>
      </c>
      <c r="G5" s="25" t="s">
        <v>108</v>
      </c>
      <c r="H5" s="25" t="s">
        <v>109</v>
      </c>
      <c r="I5" s="25" t="s">
        <v>106</v>
      </c>
      <c r="J5" s="42"/>
      <c r="K5" s="47"/>
      <c r="L5" s="34" t="s">
        <v>110</v>
      </c>
      <c r="M5" s="34" t="s">
        <v>111</v>
      </c>
      <c r="N5" s="34" t="s">
        <v>112</v>
      </c>
      <c r="O5" s="48"/>
    </row>
    <row r="6" spans="1:15" ht="18.95" customHeight="1" x14ac:dyDescent="0.25">
      <c r="A6" s="38"/>
      <c r="B6" s="39">
        <v>3</v>
      </c>
      <c r="C6" s="40">
        <v>500</v>
      </c>
      <c r="D6" s="25" t="s">
        <v>113</v>
      </c>
      <c r="E6" s="41">
        <v>42262</v>
      </c>
      <c r="F6" s="25" t="s">
        <v>11</v>
      </c>
      <c r="G6" s="25" t="s">
        <v>114</v>
      </c>
      <c r="H6" s="25" t="s">
        <v>109</v>
      </c>
      <c r="I6" s="25" t="s">
        <v>115</v>
      </c>
      <c r="J6" s="42"/>
      <c r="K6" s="47"/>
      <c r="L6" s="4"/>
      <c r="M6" s="3"/>
      <c r="N6" s="3"/>
      <c r="O6" s="48"/>
    </row>
    <row r="7" spans="1:15" ht="18.95" customHeight="1" x14ac:dyDescent="0.25">
      <c r="A7" s="1"/>
      <c r="B7" s="49">
        <v>4</v>
      </c>
      <c r="C7" s="3">
        <v>1349</v>
      </c>
      <c r="D7" s="25" t="s">
        <v>113</v>
      </c>
      <c r="E7" s="41">
        <v>42263</v>
      </c>
      <c r="F7" s="25" t="s">
        <v>27</v>
      </c>
      <c r="G7" s="25" t="s">
        <v>116</v>
      </c>
      <c r="H7" s="25" t="s">
        <v>117</v>
      </c>
      <c r="I7" s="25" t="s">
        <v>115</v>
      </c>
      <c r="J7" s="42"/>
      <c r="K7" s="47"/>
      <c r="L7" s="50">
        <f>SUM(N13:N31)-C52-C67</f>
        <v>4064.8</v>
      </c>
      <c r="M7" s="32" t="e">
        <f>SUM(M13:M24)</f>
        <v>#REF!</v>
      </c>
      <c r="N7" s="32" t="e">
        <f>M7-L7</f>
        <v>#REF!</v>
      </c>
      <c r="O7" s="48"/>
    </row>
    <row r="8" spans="1:15" ht="18.95" customHeight="1" x14ac:dyDescent="0.25">
      <c r="A8" s="38"/>
      <c r="B8" s="39">
        <v>5</v>
      </c>
      <c r="C8" s="40">
        <f>107.07+866.33</f>
        <v>973.40000000000009</v>
      </c>
      <c r="D8" s="25" t="s">
        <v>113</v>
      </c>
      <c r="E8" s="41">
        <v>42212</v>
      </c>
      <c r="F8" s="25" t="s">
        <v>28</v>
      </c>
      <c r="G8" s="51" t="s">
        <v>118</v>
      </c>
      <c r="H8" s="25" t="s">
        <v>117</v>
      </c>
      <c r="I8" s="25" t="s">
        <v>115</v>
      </c>
      <c r="J8" s="42"/>
      <c r="K8" s="52"/>
      <c r="L8" s="36"/>
      <c r="M8" s="37"/>
      <c r="N8" s="37"/>
      <c r="O8" s="53"/>
    </row>
    <row r="9" spans="1:15" ht="18.95" customHeight="1" x14ac:dyDescent="0.25">
      <c r="A9" s="1"/>
      <c r="B9" s="76">
        <v>6</v>
      </c>
      <c r="C9" s="3">
        <v>960</v>
      </c>
      <c r="D9" s="4" t="s">
        <v>113</v>
      </c>
      <c r="E9" s="41">
        <v>42280</v>
      </c>
      <c r="F9" s="4" t="s">
        <v>21</v>
      </c>
      <c r="G9" s="4" t="s">
        <v>178</v>
      </c>
      <c r="H9" s="4" t="s">
        <v>109</v>
      </c>
      <c r="I9" s="4" t="s">
        <v>115</v>
      </c>
      <c r="J9" s="4"/>
      <c r="K9" s="44"/>
      <c r="L9" s="44"/>
      <c r="M9" s="45"/>
      <c r="N9" s="45"/>
      <c r="O9" s="45"/>
    </row>
    <row r="10" spans="1:15" ht="18.95" customHeight="1" x14ac:dyDescent="0.25">
      <c r="A10" s="1"/>
      <c r="B10" s="4"/>
      <c r="C10" s="3"/>
      <c r="D10" s="4"/>
      <c r="E10" s="4"/>
      <c r="F10" s="4"/>
      <c r="G10" s="4"/>
      <c r="H10" s="4"/>
      <c r="I10" s="4"/>
      <c r="J10" s="4"/>
      <c r="K10" s="4"/>
      <c r="L10" s="4"/>
      <c r="M10" s="3"/>
      <c r="N10" s="3"/>
      <c r="O10" s="3"/>
    </row>
    <row r="11" spans="1:15" ht="18.95" customHeight="1" x14ac:dyDescent="0.25">
      <c r="A11" s="1"/>
      <c r="B11" s="4"/>
      <c r="C11" s="3"/>
      <c r="D11" s="4"/>
      <c r="E11" s="4"/>
      <c r="F11" s="4"/>
      <c r="G11" s="4"/>
      <c r="H11" s="4"/>
      <c r="I11" s="4"/>
      <c r="J11" s="3"/>
      <c r="K11" s="4"/>
      <c r="L11" s="34" t="s">
        <v>119</v>
      </c>
      <c r="M11" s="34" t="s">
        <v>111</v>
      </c>
      <c r="N11" s="34" t="s">
        <v>120</v>
      </c>
      <c r="O11" s="34" t="s">
        <v>121</v>
      </c>
    </row>
    <row r="12" spans="1:15" ht="18.95" customHeight="1" x14ac:dyDescent="0.25">
      <c r="A12" s="1"/>
      <c r="B12" s="4"/>
      <c r="C12" s="3"/>
      <c r="D12" s="4"/>
      <c r="E12" s="4"/>
      <c r="F12" s="4"/>
      <c r="G12" s="4"/>
      <c r="H12" s="4"/>
      <c r="I12" s="4"/>
      <c r="J12" s="3"/>
      <c r="K12" s="4"/>
      <c r="L12" s="4"/>
      <c r="M12" s="3"/>
      <c r="N12" s="3"/>
      <c r="O12" s="54"/>
    </row>
    <row r="13" spans="1:15" ht="18.95" customHeight="1" x14ac:dyDescent="0.25">
      <c r="A13" s="1"/>
      <c r="B13" s="4"/>
      <c r="C13" s="3"/>
      <c r="D13" s="4"/>
      <c r="E13" s="4"/>
      <c r="F13" s="4"/>
      <c r="G13" s="4"/>
      <c r="H13" s="4"/>
      <c r="I13" s="4"/>
      <c r="J13" s="3"/>
      <c r="K13" s="4"/>
      <c r="L13" s="25" t="s">
        <v>11</v>
      </c>
      <c r="M13" s="21" t="e">
        <f>#REF!</f>
        <v>#REF!</v>
      </c>
      <c r="N13" s="55">
        <f>SUMIF(F1:F67,L13:L24,C1:C67)</f>
        <v>500</v>
      </c>
      <c r="O13" s="56" t="e">
        <f t="shared" ref="O13:O26" si="0">M13-N13</f>
        <v>#REF!</v>
      </c>
    </row>
    <row r="14" spans="1:15" ht="18.95" customHeight="1" x14ac:dyDescent="0.25">
      <c r="A14" s="1"/>
      <c r="B14" s="4"/>
      <c r="C14" s="3"/>
      <c r="D14" s="4"/>
      <c r="E14" s="4"/>
      <c r="F14" s="4"/>
      <c r="G14" s="4"/>
      <c r="H14" s="4"/>
      <c r="I14" s="4"/>
      <c r="J14" s="3"/>
      <c r="K14" s="4"/>
      <c r="L14" s="25" t="s">
        <v>12</v>
      </c>
      <c r="M14" s="21" t="e">
        <f>#REF!</f>
        <v>#REF!</v>
      </c>
      <c r="N14" s="55">
        <f>SUMIF(F1:F67,L13:L30,C1:C67)</f>
        <v>0</v>
      </c>
      <c r="O14" s="56" t="e">
        <f t="shared" si="0"/>
        <v>#REF!</v>
      </c>
    </row>
    <row r="15" spans="1:15" ht="18.95" customHeight="1" x14ac:dyDescent="0.25">
      <c r="A15" s="1"/>
      <c r="B15" s="4"/>
      <c r="C15" s="3"/>
      <c r="D15" s="4"/>
      <c r="E15" s="4"/>
      <c r="F15" s="4"/>
      <c r="G15" s="4"/>
      <c r="H15" s="4"/>
      <c r="I15" s="4"/>
      <c r="J15" s="4"/>
      <c r="K15" s="4"/>
      <c r="L15" s="25" t="s">
        <v>15</v>
      </c>
      <c r="M15" s="27" t="e">
        <f>#REF!</f>
        <v>#REF!</v>
      </c>
      <c r="N15" s="55">
        <f>SUMIF(F1:F67,L13:L30,C1:C67)</f>
        <v>0</v>
      </c>
      <c r="O15" s="56" t="e">
        <f t="shared" si="0"/>
        <v>#REF!</v>
      </c>
    </row>
    <row r="16" spans="1:15" ht="18.95" customHeight="1" x14ac:dyDescent="0.25">
      <c r="A16" s="1"/>
      <c r="B16" s="4"/>
      <c r="C16" s="3"/>
      <c r="D16" s="4"/>
      <c r="E16" s="4"/>
      <c r="F16" s="4"/>
      <c r="G16" s="4"/>
      <c r="H16" s="4"/>
      <c r="I16" s="4"/>
      <c r="J16" s="3"/>
      <c r="K16" s="4"/>
      <c r="L16" s="25" t="s">
        <v>16</v>
      </c>
      <c r="M16" s="27" t="e">
        <f>#REF!</f>
        <v>#REF!</v>
      </c>
      <c r="N16" s="55">
        <f>SUMIF(F1:F67,L13:L30,C1:C67)</f>
        <v>0</v>
      </c>
      <c r="O16" s="56" t="e">
        <f t="shared" si="0"/>
        <v>#REF!</v>
      </c>
    </row>
    <row r="17" spans="1:15" ht="18.95" customHeight="1" x14ac:dyDescent="0.25">
      <c r="A17" s="1"/>
      <c r="B17" s="4"/>
      <c r="C17" s="3"/>
      <c r="D17" s="4"/>
      <c r="E17" s="4"/>
      <c r="F17" s="4"/>
      <c r="G17" s="4"/>
      <c r="H17" s="4"/>
      <c r="I17" s="4"/>
      <c r="J17" s="4"/>
      <c r="K17" s="4"/>
      <c r="L17" s="25" t="s">
        <v>18</v>
      </c>
      <c r="M17" s="21" t="e">
        <f>#REF!</f>
        <v>#REF!</v>
      </c>
      <c r="N17" s="55">
        <f>SUMIF(F1:F67,L13:L30,C1:C67)</f>
        <v>0</v>
      </c>
      <c r="O17" s="56" t="e">
        <f t="shared" si="0"/>
        <v>#REF!</v>
      </c>
    </row>
    <row r="18" spans="1:15" ht="18.95" customHeight="1" x14ac:dyDescent="0.25">
      <c r="A18" s="1"/>
      <c r="B18" s="4"/>
      <c r="C18" s="3"/>
      <c r="D18" s="4"/>
      <c r="E18" s="4"/>
      <c r="F18" s="4"/>
      <c r="G18" s="4"/>
      <c r="H18" s="4"/>
      <c r="I18" s="4"/>
      <c r="J18" s="4"/>
      <c r="K18" s="4"/>
      <c r="L18" s="7" t="s">
        <v>19</v>
      </c>
      <c r="M18" s="57" t="e">
        <f>#REF!+42</f>
        <v>#REF!</v>
      </c>
      <c r="N18" s="58">
        <f>SUMIF(F1:F67,L13:L30,C1:C67)</f>
        <v>252</v>
      </c>
      <c r="O18" s="59" t="e">
        <f t="shared" si="0"/>
        <v>#REF!</v>
      </c>
    </row>
    <row r="19" spans="1:15" ht="18.95" customHeight="1" x14ac:dyDescent="0.25">
      <c r="A19" s="1"/>
      <c r="B19" s="4"/>
      <c r="C19" s="3"/>
      <c r="D19" s="4"/>
      <c r="E19" s="4"/>
      <c r="F19" s="4"/>
      <c r="G19" s="4"/>
      <c r="H19" s="4"/>
      <c r="I19" s="4"/>
      <c r="J19" s="4"/>
      <c r="K19" s="4"/>
      <c r="L19" s="25" t="s">
        <v>21</v>
      </c>
      <c r="M19" s="21" t="e">
        <f>#REF!</f>
        <v>#REF!</v>
      </c>
      <c r="N19" s="55">
        <f>SUMIF(F1:F67,L13:L30,C1:C67)</f>
        <v>960</v>
      </c>
      <c r="O19" s="56" t="e">
        <f t="shared" si="0"/>
        <v>#REF!</v>
      </c>
    </row>
    <row r="20" spans="1:15" ht="18.95" customHeight="1" x14ac:dyDescent="0.25">
      <c r="A20" s="1"/>
      <c r="B20" s="4"/>
      <c r="C20" s="3"/>
      <c r="D20" s="4"/>
      <c r="E20" s="4"/>
      <c r="F20" s="4"/>
      <c r="G20" s="4"/>
      <c r="H20" s="4"/>
      <c r="I20" s="4"/>
      <c r="J20" s="4"/>
      <c r="K20" s="4"/>
      <c r="L20" s="25" t="s">
        <v>25</v>
      </c>
      <c r="M20" s="21" t="e">
        <f>#REF!</f>
        <v>#REF!</v>
      </c>
      <c r="N20" s="55">
        <f>SUMIF(F1:F67,L13:L30,C1:C67)</f>
        <v>0</v>
      </c>
      <c r="O20" s="56" t="e">
        <f t="shared" si="0"/>
        <v>#REF!</v>
      </c>
    </row>
    <row r="21" spans="1:15" ht="18.95" customHeight="1" x14ac:dyDescent="0.25">
      <c r="A21" s="1"/>
      <c r="B21" s="4"/>
      <c r="C21" s="3"/>
      <c r="D21" s="4"/>
      <c r="E21" s="4"/>
      <c r="F21" s="4"/>
      <c r="G21" s="4"/>
      <c r="H21" s="4"/>
      <c r="I21" s="4"/>
      <c r="J21" s="1"/>
      <c r="K21" s="1"/>
      <c r="L21" s="25" t="s">
        <v>27</v>
      </c>
      <c r="M21" s="21" t="e">
        <f>#REF!</f>
        <v>#REF!</v>
      </c>
      <c r="N21" s="30">
        <f>SUMIF(F1:F67,L13:L30,C1:C67)</f>
        <v>1349</v>
      </c>
      <c r="O21" s="60" t="e">
        <f t="shared" si="0"/>
        <v>#REF!</v>
      </c>
    </row>
    <row r="22" spans="1:15" ht="18.95" customHeight="1" x14ac:dyDescent="0.25">
      <c r="A22" s="1"/>
      <c r="B22" s="4"/>
      <c r="C22" s="3"/>
      <c r="D22" s="4"/>
      <c r="E22" s="4"/>
      <c r="F22" s="4"/>
      <c r="G22" s="4"/>
      <c r="H22" s="4"/>
      <c r="I22" s="4"/>
      <c r="J22" s="1"/>
      <c r="K22" s="1"/>
      <c r="L22" s="7" t="s">
        <v>28</v>
      </c>
      <c r="M22" s="57" t="e">
        <f>#REF!</f>
        <v>#REF!</v>
      </c>
      <c r="N22" s="61">
        <f>SUMIF(F1:F67,L13:L30,C1:C67)</f>
        <v>973.40000000000009</v>
      </c>
      <c r="O22" s="62" t="e">
        <f t="shared" si="0"/>
        <v>#REF!</v>
      </c>
    </row>
    <row r="23" spans="1:15" ht="18.95" customHeight="1" x14ac:dyDescent="0.25">
      <c r="A23" s="1"/>
      <c r="B23" s="4"/>
      <c r="C23" s="3"/>
      <c r="D23" s="4"/>
      <c r="E23" s="4"/>
      <c r="F23" s="4"/>
      <c r="G23" s="4"/>
      <c r="H23" s="4"/>
      <c r="I23" s="4"/>
      <c r="J23" s="1"/>
      <c r="K23" s="1"/>
      <c r="L23" s="25" t="s">
        <v>29</v>
      </c>
      <c r="M23" s="21" t="e">
        <f>#REF!</f>
        <v>#REF!</v>
      </c>
      <c r="N23" s="55">
        <f>SUMIF(F1:F67,L13:L30,C1:C67)</f>
        <v>30.4</v>
      </c>
      <c r="O23" s="56" t="e">
        <f t="shared" si="0"/>
        <v>#REF!</v>
      </c>
    </row>
    <row r="24" spans="1:15" ht="18.95" customHeight="1" x14ac:dyDescent="0.25">
      <c r="A24" s="1"/>
      <c r="B24" s="4"/>
      <c r="C24" s="3"/>
      <c r="D24" s="4"/>
      <c r="E24" s="4"/>
      <c r="F24" s="4"/>
      <c r="G24" s="4"/>
      <c r="H24" s="4"/>
      <c r="I24" s="4"/>
      <c r="J24" s="1"/>
      <c r="K24" s="1"/>
      <c r="L24" s="25" t="s">
        <v>33</v>
      </c>
      <c r="M24" s="21" t="e">
        <f>#REF!</f>
        <v>#REF!</v>
      </c>
      <c r="N24" s="55">
        <f>SUMIF(F1:F67,L13:L30,C1:C67)</f>
        <v>0</v>
      </c>
      <c r="O24" s="56" t="e">
        <f t="shared" si="0"/>
        <v>#REF!</v>
      </c>
    </row>
    <row r="25" spans="1:15" ht="18.95" customHeight="1" x14ac:dyDescent="0.25">
      <c r="A25" s="1"/>
      <c r="B25" s="4"/>
      <c r="C25" s="3"/>
      <c r="D25" s="4"/>
      <c r="E25" s="4"/>
      <c r="F25" s="4"/>
      <c r="G25" s="4"/>
      <c r="H25" s="4"/>
      <c r="I25" s="4"/>
      <c r="J25" s="1"/>
      <c r="K25" s="1"/>
      <c r="L25" s="25" t="s">
        <v>34</v>
      </c>
      <c r="M25" s="21" t="e">
        <f>#REF!</f>
        <v>#REF!</v>
      </c>
      <c r="N25" s="55">
        <f>SUMIF(F1:F67,L13:L30,C1:C67)</f>
        <v>0</v>
      </c>
      <c r="O25" s="56" t="e">
        <f t="shared" si="0"/>
        <v>#REF!</v>
      </c>
    </row>
    <row r="26" spans="1:15" ht="18.95" customHeight="1" x14ac:dyDescent="0.25">
      <c r="A26" s="1"/>
      <c r="B26" s="4"/>
      <c r="C26" s="3"/>
      <c r="D26" s="4"/>
      <c r="E26" s="4"/>
      <c r="F26" s="4"/>
      <c r="G26" s="4"/>
      <c r="H26" s="4"/>
      <c r="I26" s="4"/>
      <c r="J26" s="1"/>
      <c r="K26" s="1"/>
      <c r="L26" s="25" t="s">
        <v>37</v>
      </c>
      <c r="M26" s="21" t="e">
        <f>#REF!-42</f>
        <v>#REF!</v>
      </c>
      <c r="N26" s="55">
        <f>SUMIF(F1:F67,L13:L30,C1:C67)</f>
        <v>0</v>
      </c>
      <c r="O26" s="56" t="e">
        <f t="shared" si="0"/>
        <v>#REF!</v>
      </c>
    </row>
    <row r="27" spans="1:15" ht="18.95" customHeight="1" x14ac:dyDescent="0.25">
      <c r="A27" s="1"/>
      <c r="B27" s="4"/>
      <c r="C27" s="3"/>
      <c r="D27" s="4"/>
      <c r="E27" s="4"/>
      <c r="F27" s="4"/>
      <c r="G27" s="4"/>
      <c r="H27" s="4"/>
      <c r="I27" s="4"/>
      <c r="J27" s="3"/>
      <c r="K27" s="1"/>
      <c r="L27" s="11"/>
      <c r="M27" s="3"/>
      <c r="N27" s="63"/>
      <c r="O27" s="56"/>
    </row>
    <row r="28" spans="1:15" ht="18.95" customHeight="1" x14ac:dyDescent="0.25">
      <c r="A28" s="1"/>
      <c r="B28" s="4"/>
      <c r="C28" s="3"/>
      <c r="D28" s="4"/>
      <c r="E28" s="4"/>
      <c r="F28" s="4"/>
      <c r="G28" s="4"/>
      <c r="H28" s="4"/>
      <c r="I28" s="4"/>
      <c r="J28" s="1"/>
      <c r="K28" s="1"/>
      <c r="L28" s="11"/>
      <c r="M28" s="32"/>
      <c r="N28" s="64"/>
      <c r="O28" s="59"/>
    </row>
    <row r="29" spans="1:15" ht="18.95" customHeight="1" x14ac:dyDescent="0.25">
      <c r="A29" s="1"/>
      <c r="B29" s="4"/>
      <c r="C29" s="3"/>
      <c r="D29" s="4"/>
      <c r="E29" s="4"/>
      <c r="F29" s="4"/>
      <c r="G29" s="4"/>
      <c r="H29" s="4"/>
      <c r="I29" s="4"/>
      <c r="J29" s="1"/>
      <c r="K29" s="1"/>
      <c r="L29" s="11"/>
      <c r="M29" s="32"/>
      <c r="N29" s="64"/>
      <c r="O29" s="59"/>
    </row>
    <row r="30" spans="1:15" ht="18.95" customHeight="1" x14ac:dyDescent="0">
      <c r="A30" s="1"/>
      <c r="B30" s="4"/>
      <c r="C30" s="3"/>
      <c r="D30" s="4"/>
      <c r="E30" s="4"/>
      <c r="F30" s="4"/>
      <c r="G30" s="4"/>
      <c r="H30" s="4"/>
      <c r="I30" s="4"/>
      <c r="J30" s="1"/>
      <c r="K30" s="1"/>
      <c r="L30" s="4"/>
      <c r="M30" s="32"/>
      <c r="N30" s="64"/>
      <c r="O30" s="59"/>
    </row>
    <row r="31" spans="1:15" ht="18.95" customHeight="1" x14ac:dyDescent="0">
      <c r="A31" s="1"/>
      <c r="B31" s="4"/>
      <c r="C31" s="3"/>
      <c r="D31" s="4"/>
      <c r="E31" s="4"/>
      <c r="F31" s="4"/>
      <c r="G31" s="4"/>
      <c r="H31" s="4"/>
      <c r="I31" s="4"/>
      <c r="J31" s="1"/>
      <c r="K31" s="1"/>
      <c r="L31" s="1"/>
      <c r="M31" s="3"/>
      <c r="N31" s="63"/>
      <c r="O31" s="59"/>
    </row>
    <row r="32" spans="1:15" ht="18.95" customHeight="1" x14ac:dyDescent="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65"/>
    </row>
    <row r="33" spans="1:15" ht="18.95" customHeight="1" x14ac:dyDescent="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8.95" customHeight="1" x14ac:dyDescent="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8.95" customHeight="1" x14ac:dyDescent="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8.95" customHeight="1" x14ac:dyDescent="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8.95" customHeight="1" x14ac:dyDescent="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8.95" customHeight="1" x14ac:dyDescent="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8.95" customHeight="1" x14ac:dyDescent="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8.95" customHeight="1" x14ac:dyDescent="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8.95" customHeight="1" x14ac:dyDescent="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8.95" customHeight="1" x14ac:dyDescent="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8.95" customHeight="1" x14ac:dyDescent="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8.95" customHeight="1" x14ac:dyDescent="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8.95" customHeight="1" x14ac:dyDescent="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8.95" customHeight="1" x14ac:dyDescent="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8.95" customHeight="1" x14ac:dyDescent="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8.95" customHeight="1" x14ac:dyDescent="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8.95" customHeight="1" x14ac:dyDescent="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8.95" customHeight="1" x14ac:dyDescent="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8.95" customHeight="1" x14ac:dyDescent="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8.95" customHeight="1" x14ac:dyDescent="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8.95" customHeight="1" x14ac:dyDescent="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8.95" customHeight="1" x14ac:dyDescent="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8.95" customHeight="1" x14ac:dyDescent="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8.95" customHeight="1" x14ac:dyDescent="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8.95" customHeight="1" x14ac:dyDescent="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8.95" customHeight="1" x14ac:dyDescent="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8.95" customHeight="1" x14ac:dyDescent="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8.95" customHeight="1" x14ac:dyDescent="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8.95" customHeight="1" x14ac:dyDescent="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8.95" customHeight="1" x14ac:dyDescent="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8.95" customHeight="1" x14ac:dyDescent="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8.95" customHeight="1" x14ac:dyDescent="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8.95" customHeight="1" x14ac:dyDescent="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8.95" customHeight="1" x14ac:dyDescent="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8.95" customHeight="1" x14ac:dyDescent="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</sheetData>
  <dataValidations count="1">
    <dataValidation type="list" allowBlank="1" showInputMessage="1" showErrorMessage="1" sqref="F4:F67">
      <formula1>$L$13:$L$26</formula1>
    </dataValidation>
  </dataValidations>
  <pageMargins left="0.75" right="0.75" top="1" bottom="1" header="0.5" footer="0.5"/>
  <pageSetup orientation="portrait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6"/>
  <sheetViews>
    <sheetView showGridLines="0" zoomScale="80" zoomScaleNormal="80" zoomScalePageLayoutView="80" workbookViewId="0">
      <selection activeCell="C20" sqref="C20"/>
    </sheetView>
  </sheetViews>
  <sheetFormatPr defaultColWidth="9.3984375" defaultRowHeight="15" customHeight="1" x14ac:dyDescent="0.25"/>
  <cols>
    <col min="1" max="3" width="9.3984375" style="67" customWidth="1"/>
    <col min="4" max="4" width="13.8984375" style="67" customWidth="1"/>
    <col min="5" max="5" width="16.59765625" style="67" customWidth="1"/>
    <col min="6" max="6" width="18.09765625" style="67" customWidth="1"/>
    <col min="7" max="7" width="35.59765625" style="67" customWidth="1"/>
    <col min="8" max="8" width="13.59765625" style="67" customWidth="1"/>
    <col min="9" max="10" width="9.3984375" style="67" customWidth="1"/>
    <col min="11" max="11" width="7.09765625" style="67" customWidth="1"/>
    <col min="12" max="12" width="23.59765625" style="67" customWidth="1"/>
    <col min="13" max="13" width="12.3984375" style="67" customWidth="1"/>
    <col min="14" max="14" width="11.19921875" style="67" customWidth="1"/>
    <col min="15" max="15" width="18" style="67" customWidth="1"/>
    <col min="16" max="256" width="9.3984375" style="67" customWidth="1"/>
  </cols>
  <sheetData>
    <row r="1" spans="1:39" ht="18.9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8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</row>
    <row r="2" spans="1:39" ht="18.95" customHeight="1" x14ac:dyDescent="0.25">
      <c r="A2" s="1"/>
      <c r="B2" s="34" t="s">
        <v>97</v>
      </c>
      <c r="C2" s="34" t="s">
        <v>98</v>
      </c>
      <c r="D2" s="34" t="s">
        <v>99</v>
      </c>
      <c r="E2" s="34" t="s">
        <v>100</v>
      </c>
      <c r="F2" s="34" t="s">
        <v>101</v>
      </c>
      <c r="G2" s="34" t="s">
        <v>8</v>
      </c>
      <c r="H2" s="34" t="s">
        <v>102</v>
      </c>
      <c r="I2" s="34" t="s">
        <v>103</v>
      </c>
      <c r="J2" s="4"/>
      <c r="K2" s="4"/>
      <c r="L2" s="4"/>
      <c r="M2" s="3"/>
      <c r="N2" s="3"/>
      <c r="O2" s="79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ht="18.95" customHeight="1" x14ac:dyDescent="0.25">
      <c r="A3" s="1"/>
      <c r="B3" s="35"/>
      <c r="C3" s="3"/>
      <c r="D3" s="4"/>
      <c r="E3" s="4"/>
      <c r="F3" s="4"/>
      <c r="G3" s="4"/>
      <c r="H3" s="4"/>
      <c r="I3" s="4"/>
      <c r="J3" s="4"/>
      <c r="K3" s="36"/>
      <c r="L3" s="36"/>
      <c r="M3" s="37"/>
      <c r="N3" s="37"/>
      <c r="O3" s="80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</row>
    <row r="4" spans="1:39" ht="18.95" customHeight="1" x14ac:dyDescent="0.25">
      <c r="A4" s="38"/>
      <c r="B4" s="39">
        <v>1</v>
      </c>
      <c r="C4" s="40">
        <v>60</v>
      </c>
      <c r="D4" s="25" t="s">
        <v>132</v>
      </c>
      <c r="E4" s="4"/>
      <c r="F4" s="25" t="s">
        <v>123</v>
      </c>
      <c r="G4" s="25" t="s">
        <v>133</v>
      </c>
      <c r="H4" s="25" t="s">
        <v>109</v>
      </c>
      <c r="I4" s="25" t="s">
        <v>115</v>
      </c>
      <c r="J4" s="42"/>
      <c r="K4" s="43"/>
      <c r="L4" s="44"/>
      <c r="M4" s="45"/>
      <c r="N4" s="45"/>
      <c r="O4" s="81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</row>
    <row r="5" spans="1:39" ht="18.95" customHeight="1" x14ac:dyDescent="0.25">
      <c r="A5" s="38"/>
      <c r="B5" s="39">
        <v>2</v>
      </c>
      <c r="C5" s="40">
        <v>138.4</v>
      </c>
      <c r="D5" s="25" t="s">
        <v>107</v>
      </c>
      <c r="E5" s="4"/>
      <c r="F5" s="25" t="s">
        <v>123</v>
      </c>
      <c r="G5" s="25" t="s">
        <v>134</v>
      </c>
      <c r="H5" s="25" t="s">
        <v>117</v>
      </c>
      <c r="I5" s="25" t="s">
        <v>106</v>
      </c>
      <c r="J5" s="42"/>
      <c r="K5" s="47"/>
      <c r="L5" s="34" t="s">
        <v>110</v>
      </c>
      <c r="M5" s="34" t="s">
        <v>111</v>
      </c>
      <c r="N5" s="34" t="s">
        <v>112</v>
      </c>
      <c r="O5" s="79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</row>
    <row r="6" spans="1:39" ht="18.95" customHeight="1" x14ac:dyDescent="0.25">
      <c r="A6" s="38"/>
      <c r="B6" s="39">
        <v>3</v>
      </c>
      <c r="C6" s="40">
        <v>0</v>
      </c>
      <c r="D6" s="25" t="s">
        <v>113</v>
      </c>
      <c r="E6" s="41">
        <v>42258</v>
      </c>
      <c r="F6" s="25" t="s">
        <v>127</v>
      </c>
      <c r="G6" s="25" t="s">
        <v>135</v>
      </c>
      <c r="H6" s="25" t="s">
        <v>136</v>
      </c>
      <c r="I6" s="25" t="s">
        <v>115</v>
      </c>
      <c r="J6" s="42"/>
      <c r="K6" s="47"/>
      <c r="L6" s="4"/>
      <c r="M6" s="3"/>
      <c r="N6" s="3"/>
      <c r="O6" s="79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</row>
    <row r="7" spans="1:39" ht="18.95" customHeight="1" x14ac:dyDescent="0.25">
      <c r="A7" s="1"/>
      <c r="B7" s="68" t="s">
        <v>137</v>
      </c>
      <c r="C7" s="3"/>
      <c r="D7" s="4"/>
      <c r="E7" s="4"/>
      <c r="F7" s="4"/>
      <c r="G7" s="4"/>
      <c r="H7" s="4"/>
      <c r="I7" s="4"/>
      <c r="J7" s="42"/>
      <c r="K7" s="47"/>
      <c r="L7" s="50">
        <f>SUM(N13:N26)+200+200+200</f>
        <v>12330.73</v>
      </c>
      <c r="M7" s="32" t="e">
        <f>SUM(M13:M25)</f>
        <v>#REF!</v>
      </c>
      <c r="N7" s="32" t="e">
        <f>M7-L7</f>
        <v>#REF!</v>
      </c>
      <c r="O7" s="79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</row>
    <row r="8" spans="1:39" ht="18.95" customHeight="1" x14ac:dyDescent="0.25">
      <c r="A8" s="1"/>
      <c r="B8" s="69" t="s">
        <v>138</v>
      </c>
      <c r="C8" s="3"/>
      <c r="D8" s="4"/>
      <c r="E8" s="4"/>
      <c r="F8" s="4"/>
      <c r="G8" s="4"/>
      <c r="H8" s="4"/>
      <c r="I8" s="4"/>
      <c r="J8" s="42"/>
      <c r="K8" s="52"/>
      <c r="L8" s="36"/>
      <c r="M8" s="37"/>
      <c r="N8" s="37"/>
      <c r="O8" s="80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</row>
    <row r="9" spans="1:39" ht="18.95" customHeight="1" x14ac:dyDescent="0.25">
      <c r="A9" s="1"/>
      <c r="B9" s="70" t="s">
        <v>139</v>
      </c>
      <c r="C9" s="3"/>
      <c r="D9" s="4"/>
      <c r="E9" s="4"/>
      <c r="F9" s="4"/>
      <c r="G9" s="4"/>
      <c r="H9" s="4"/>
      <c r="I9" s="4"/>
      <c r="J9" s="4"/>
      <c r="K9" s="44"/>
      <c r="L9" s="44"/>
      <c r="M9" s="45"/>
      <c r="N9" s="45"/>
      <c r="O9" s="81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</row>
    <row r="10" spans="1:39" ht="18.95" customHeight="1" x14ac:dyDescent="0.25">
      <c r="A10" s="38"/>
      <c r="B10" s="39">
        <v>4</v>
      </c>
      <c r="C10" s="40">
        <v>42</v>
      </c>
      <c r="D10" s="25" t="s">
        <v>113</v>
      </c>
      <c r="E10" s="41">
        <v>42264</v>
      </c>
      <c r="F10" s="25" t="s">
        <v>37</v>
      </c>
      <c r="G10" s="25" t="s">
        <v>140</v>
      </c>
      <c r="H10" s="25" t="s">
        <v>117</v>
      </c>
      <c r="I10" s="25" t="s">
        <v>115</v>
      </c>
      <c r="J10" s="1"/>
      <c r="K10" s="4"/>
      <c r="L10" s="4"/>
      <c r="M10" s="3"/>
      <c r="N10" s="3"/>
      <c r="O10" s="79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</row>
    <row r="11" spans="1:39" ht="18.95" customHeight="1" x14ac:dyDescent="0.25">
      <c r="A11" s="38"/>
      <c r="B11" s="39">
        <v>5</v>
      </c>
      <c r="C11" s="40">
        <v>59.95</v>
      </c>
      <c r="D11" s="25" t="s">
        <v>113</v>
      </c>
      <c r="E11" s="41">
        <v>42264</v>
      </c>
      <c r="F11" s="25" t="s">
        <v>37</v>
      </c>
      <c r="G11" s="25" t="s">
        <v>141</v>
      </c>
      <c r="H11" s="25" t="s">
        <v>117</v>
      </c>
      <c r="I11" s="25" t="s">
        <v>115</v>
      </c>
      <c r="J11" s="3"/>
      <c r="K11" s="4"/>
      <c r="L11" s="34" t="s">
        <v>119</v>
      </c>
      <c r="M11" s="34" t="s">
        <v>111</v>
      </c>
      <c r="N11" s="34" t="s">
        <v>120</v>
      </c>
      <c r="O11" s="82" t="s">
        <v>121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</row>
    <row r="12" spans="1:39" ht="18.95" customHeight="1" x14ac:dyDescent="0.25">
      <c r="A12" s="1"/>
      <c r="B12" s="71">
        <v>6</v>
      </c>
      <c r="C12" s="3">
        <v>95</v>
      </c>
      <c r="D12" s="25" t="s">
        <v>113</v>
      </c>
      <c r="E12" s="41">
        <v>42268</v>
      </c>
      <c r="F12" s="25" t="s">
        <v>123</v>
      </c>
      <c r="G12" s="25" t="s">
        <v>142</v>
      </c>
      <c r="H12" s="25" t="s">
        <v>117</v>
      </c>
      <c r="I12" s="25" t="s">
        <v>115</v>
      </c>
      <c r="J12" s="3"/>
      <c r="K12" s="4"/>
      <c r="L12" s="4"/>
      <c r="M12" s="3"/>
      <c r="N12" s="3"/>
      <c r="O12" s="79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</row>
    <row r="13" spans="1:39" ht="18.95" customHeight="1" x14ac:dyDescent="0.25">
      <c r="A13" s="1"/>
      <c r="B13" s="25">
        <v>7</v>
      </c>
      <c r="C13" s="3">
        <v>107.1</v>
      </c>
      <c r="D13" s="25" t="s">
        <v>113</v>
      </c>
      <c r="E13" s="41">
        <v>42269</v>
      </c>
      <c r="F13" s="25" t="s">
        <v>130</v>
      </c>
      <c r="G13" s="25" t="s">
        <v>143</v>
      </c>
      <c r="H13" s="25" t="s">
        <v>117</v>
      </c>
      <c r="I13" s="25" t="s">
        <v>115</v>
      </c>
      <c r="J13" s="3"/>
      <c r="K13" s="4"/>
      <c r="L13" s="25" t="s">
        <v>144</v>
      </c>
      <c r="M13" s="3" t="e">
        <f>SUM(#REF!)+#REF!+#REF!</f>
        <v>#REF!</v>
      </c>
      <c r="N13" s="3">
        <f>SUMIF(F1:F44,L13:L26,C1:C44)</f>
        <v>6671.3</v>
      </c>
      <c r="O13" s="79" t="e">
        <f t="shared" ref="O13:O23" si="0">M13-N13</f>
        <v>#REF!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</row>
    <row r="14" spans="1:39" ht="18.95" customHeight="1" x14ac:dyDescent="0.25">
      <c r="A14" s="1"/>
      <c r="B14" s="72">
        <v>8</v>
      </c>
      <c r="C14" s="3">
        <v>42</v>
      </c>
      <c r="D14" s="25" t="s">
        <v>113</v>
      </c>
      <c r="E14" s="41">
        <v>42270</v>
      </c>
      <c r="F14" s="25" t="s">
        <v>37</v>
      </c>
      <c r="G14" s="25" t="s">
        <v>145</v>
      </c>
      <c r="H14" s="25" t="s">
        <v>136</v>
      </c>
      <c r="I14" s="25" t="s">
        <v>115</v>
      </c>
      <c r="J14" s="3"/>
      <c r="K14" s="4"/>
      <c r="L14" s="25" t="s">
        <v>146</v>
      </c>
      <c r="M14" s="3" t="e">
        <f>SUM(#REF!)</f>
        <v>#REF!</v>
      </c>
      <c r="N14" s="3">
        <f>SUMIF(F1:F44,L13:L32,C1:C44)</f>
        <v>3784</v>
      </c>
      <c r="O14" s="79" t="e">
        <f t="shared" si="0"/>
        <v>#REF!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</row>
    <row r="15" spans="1:39" ht="18.95" customHeight="1" x14ac:dyDescent="0.25">
      <c r="A15" s="38"/>
      <c r="B15" s="39">
        <v>9</v>
      </c>
      <c r="C15" s="40">
        <v>0</v>
      </c>
      <c r="D15" s="25" t="s">
        <v>113</v>
      </c>
      <c r="E15" s="41">
        <v>42270</v>
      </c>
      <c r="F15" s="25" t="s">
        <v>127</v>
      </c>
      <c r="G15" s="25" t="s">
        <v>147</v>
      </c>
      <c r="H15" s="25" t="s">
        <v>136</v>
      </c>
      <c r="I15" s="25" t="s">
        <v>115</v>
      </c>
      <c r="J15" s="4"/>
      <c r="K15" s="4"/>
      <c r="L15" s="25" t="s">
        <v>123</v>
      </c>
      <c r="M15" s="3" t="e">
        <f>#REF!</f>
        <v>#REF!</v>
      </c>
      <c r="N15" s="3">
        <f>SUMIF(F1:F44,L13:L32,C1:C44)</f>
        <v>521.4</v>
      </c>
      <c r="O15" s="79" t="e">
        <f t="shared" si="0"/>
        <v>#REF!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</row>
    <row r="16" spans="1:39" ht="18.95" customHeight="1" x14ac:dyDescent="0.25">
      <c r="A16" s="1"/>
      <c r="B16" s="68" t="s">
        <v>148</v>
      </c>
      <c r="C16" s="3"/>
      <c r="D16" s="4"/>
      <c r="E16" s="4"/>
      <c r="F16" s="4"/>
      <c r="G16" s="4"/>
      <c r="H16" s="4"/>
      <c r="I16" s="4"/>
      <c r="J16" s="3"/>
      <c r="K16" s="4"/>
      <c r="L16" s="25" t="s">
        <v>124</v>
      </c>
      <c r="M16" s="3" t="e">
        <f>#REF!</f>
        <v>#REF!</v>
      </c>
      <c r="N16" s="3">
        <f>SUMIF(F1:F44,L13:L32,C1:C44)</f>
        <v>300</v>
      </c>
      <c r="O16" s="79" t="e">
        <f t="shared" si="0"/>
        <v>#REF!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</row>
    <row r="17" spans="1:39" ht="18.95" customHeight="1" x14ac:dyDescent="0.25">
      <c r="A17" s="1"/>
      <c r="B17" s="69" t="s">
        <v>149</v>
      </c>
      <c r="C17" s="3"/>
      <c r="D17" s="4"/>
      <c r="E17" s="4"/>
      <c r="F17" s="4"/>
      <c r="G17" s="4"/>
      <c r="H17" s="4"/>
      <c r="I17" s="4"/>
      <c r="J17" s="4"/>
      <c r="K17" s="4"/>
      <c r="L17" s="25" t="s">
        <v>125</v>
      </c>
      <c r="M17" s="3" t="e">
        <f>#REF!</f>
        <v>#REF!</v>
      </c>
      <c r="N17" s="3">
        <f>SUMIF(F1:F44,L13:L32,C1:C44)</f>
        <v>0</v>
      </c>
      <c r="O17" s="79" t="e">
        <f t="shared" si="0"/>
        <v>#REF!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</row>
    <row r="18" spans="1:39" ht="18.95" customHeight="1" x14ac:dyDescent="0.25">
      <c r="A18" s="1"/>
      <c r="B18" s="70" t="s">
        <v>150</v>
      </c>
      <c r="C18" s="3"/>
      <c r="D18" s="4"/>
      <c r="E18" s="4"/>
      <c r="F18" s="4"/>
      <c r="G18" s="4"/>
      <c r="H18" s="4"/>
      <c r="I18" s="4"/>
      <c r="J18" s="4"/>
      <c r="K18" s="4"/>
      <c r="L18" s="25" t="s">
        <v>126</v>
      </c>
      <c r="M18" s="3" t="e">
        <f>#REF!</f>
        <v>#REF!</v>
      </c>
      <c r="N18" s="3">
        <f>SUMIF(F1:F44,L13:L32,C1:C44)</f>
        <v>0</v>
      </c>
      <c r="O18" s="79" t="e">
        <f t="shared" si="0"/>
        <v>#REF!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</row>
    <row r="19" spans="1:39" ht="18.95" customHeight="1" x14ac:dyDescent="0.25">
      <c r="A19" s="38"/>
      <c r="B19" s="39">
        <v>10</v>
      </c>
      <c r="C19" s="40">
        <f>580+571.3+580+440+440+520</f>
        <v>3131.3</v>
      </c>
      <c r="D19" s="25" t="s">
        <v>113</v>
      </c>
      <c r="E19" s="41">
        <v>42273</v>
      </c>
      <c r="F19" s="25" t="s">
        <v>144</v>
      </c>
      <c r="G19" s="25" t="s">
        <v>183</v>
      </c>
      <c r="H19" s="25" t="s">
        <v>109</v>
      </c>
      <c r="I19" s="25" t="s">
        <v>115</v>
      </c>
      <c r="J19" s="4"/>
      <c r="K19" s="4"/>
      <c r="L19" s="25" t="s">
        <v>127</v>
      </c>
      <c r="M19" s="3" t="e">
        <f>#REF!</f>
        <v>#REF!</v>
      </c>
      <c r="N19" s="3">
        <f>SUMIF(F1:F44,L13:L32,C1:C44)</f>
        <v>33</v>
      </c>
      <c r="O19" s="79" t="e">
        <f t="shared" si="0"/>
        <v>#REF!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</row>
    <row r="20" spans="1:39" ht="18.95" customHeight="1" x14ac:dyDescent="0.25">
      <c r="A20" s="38"/>
      <c r="B20" s="39">
        <v>11</v>
      </c>
      <c r="C20" s="40">
        <f>440+440+440</f>
        <v>1320</v>
      </c>
      <c r="D20" s="25" t="s">
        <v>113</v>
      </c>
      <c r="E20" s="41">
        <v>42273</v>
      </c>
      <c r="F20" s="25" t="s">
        <v>146</v>
      </c>
      <c r="G20" s="25" t="s">
        <v>151</v>
      </c>
      <c r="H20" s="25" t="s">
        <v>109</v>
      </c>
      <c r="I20" s="25" t="s">
        <v>115</v>
      </c>
      <c r="J20" s="4"/>
      <c r="K20" s="4"/>
      <c r="L20" s="25" t="s">
        <v>128</v>
      </c>
      <c r="M20" s="3" t="e">
        <f>#REF!</f>
        <v>#REF!</v>
      </c>
      <c r="N20" s="3">
        <f>SUMIF(F1:F44,L13:L32,C1:C44)</f>
        <v>0</v>
      </c>
      <c r="O20" s="83" t="e">
        <f t="shared" si="0"/>
        <v>#REF!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</row>
    <row r="21" spans="1:39" ht="18.95" customHeight="1" x14ac:dyDescent="0.25">
      <c r="A21" s="38"/>
      <c r="B21" s="39">
        <v>12</v>
      </c>
      <c r="C21" s="40">
        <v>9.84</v>
      </c>
      <c r="D21" s="25" t="s">
        <v>107</v>
      </c>
      <c r="E21" s="41">
        <v>42275</v>
      </c>
      <c r="F21" s="25" t="s">
        <v>37</v>
      </c>
      <c r="G21" s="25" t="s">
        <v>152</v>
      </c>
      <c r="H21" s="25" t="s">
        <v>117</v>
      </c>
      <c r="I21" s="25" t="s">
        <v>106</v>
      </c>
      <c r="J21" s="1"/>
      <c r="K21" s="1"/>
      <c r="L21" s="7" t="s">
        <v>153</v>
      </c>
      <c r="M21" s="32" t="e">
        <f>#REF!-#REF!</f>
        <v>#REF!</v>
      </c>
      <c r="N21" s="64">
        <f>SUMIF(F1:F44,L13:L32,C1:C44)</f>
        <v>0</v>
      </c>
      <c r="O21" s="84" t="e">
        <f t="shared" si="0"/>
        <v>#REF!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spans="1:39" ht="18.95" customHeight="1" x14ac:dyDescent="0.25">
      <c r="A22" s="38"/>
      <c r="B22" s="39">
        <v>13</v>
      </c>
      <c r="C22" s="40">
        <v>0</v>
      </c>
      <c r="D22" s="25" t="s">
        <v>113</v>
      </c>
      <c r="E22" s="41">
        <v>42276</v>
      </c>
      <c r="F22" s="25" t="s">
        <v>127</v>
      </c>
      <c r="G22" s="25" t="s">
        <v>154</v>
      </c>
      <c r="H22" s="25" t="s">
        <v>136</v>
      </c>
      <c r="I22" s="25" t="s">
        <v>115</v>
      </c>
      <c r="J22" s="1"/>
      <c r="K22" s="1"/>
      <c r="L22" s="7" t="s">
        <v>129</v>
      </c>
      <c r="M22" s="32" t="e">
        <f>#REF!-#REF!</f>
        <v>#REF!</v>
      </c>
      <c r="N22" s="64">
        <f>SUMIF(F1:F44,L13:L32,C1:C44)</f>
        <v>0</v>
      </c>
      <c r="O22" s="84" t="e">
        <f t="shared" si="0"/>
        <v>#REF!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</row>
    <row r="23" spans="1:39" ht="18.95" customHeight="1" x14ac:dyDescent="0.25">
      <c r="A23" s="1"/>
      <c r="B23" s="68" t="s">
        <v>155</v>
      </c>
      <c r="C23" s="3"/>
      <c r="D23" s="4"/>
      <c r="E23" s="4"/>
      <c r="F23" s="4"/>
      <c r="G23" s="4"/>
      <c r="H23" s="4"/>
      <c r="I23" s="4"/>
      <c r="J23" s="1"/>
      <c r="K23" s="1"/>
      <c r="L23" s="7" t="s">
        <v>130</v>
      </c>
      <c r="M23" s="32" t="e">
        <f>#REF!+47.1</f>
        <v>#REF!</v>
      </c>
      <c r="N23" s="64">
        <f>SUMIF(F1:F44,L13:L32,C1:C44)</f>
        <v>107.1</v>
      </c>
      <c r="O23" s="84" t="e">
        <f t="shared" si="0"/>
        <v>#REF!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</row>
    <row r="24" spans="1:39" ht="18.95" customHeight="1" x14ac:dyDescent="0.25">
      <c r="A24" s="1"/>
      <c r="B24" s="69" t="s">
        <v>156</v>
      </c>
      <c r="C24" s="3"/>
      <c r="D24" s="4"/>
      <c r="E24" s="4"/>
      <c r="F24" s="4"/>
      <c r="G24" s="4"/>
      <c r="H24" s="4"/>
      <c r="I24" s="4"/>
      <c r="J24" s="1"/>
      <c r="K24" s="1"/>
      <c r="L24" s="7" t="s">
        <v>131</v>
      </c>
      <c r="M24" s="32" t="e">
        <f>#REF!</f>
        <v>#REF!</v>
      </c>
      <c r="N24" s="64">
        <f>SUMIF(F1:F44,L13:L32,C1:C44)</f>
        <v>158.11000000000001</v>
      </c>
      <c r="O24" s="84" t="e">
        <f>M25-N25</f>
        <v>#REF!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</row>
    <row r="25" spans="1:39" ht="18.95" customHeight="1" x14ac:dyDescent="0.25">
      <c r="A25" s="1"/>
      <c r="B25" s="69" t="s">
        <v>158</v>
      </c>
      <c r="C25" s="3"/>
      <c r="D25" s="4"/>
      <c r="E25" s="4"/>
      <c r="F25" s="4"/>
      <c r="G25" s="4"/>
      <c r="H25" s="4"/>
      <c r="I25" s="4"/>
      <c r="J25" s="1"/>
      <c r="K25" s="1"/>
      <c r="L25" s="7" t="s">
        <v>157</v>
      </c>
      <c r="M25" s="32" t="e">
        <f>#REF!-#REF!</f>
        <v>#REF!</v>
      </c>
      <c r="N25" s="64">
        <f>SUMIF(F1:F44,L13:L32,C1:C44)</f>
        <v>0</v>
      </c>
      <c r="O25" s="85" t="e">
        <f>M26-N26</f>
        <v>#REF!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</row>
    <row r="26" spans="1:39" ht="18.95" customHeight="1" x14ac:dyDescent="0.25">
      <c r="A26" s="1"/>
      <c r="B26" s="72">
        <v>14</v>
      </c>
      <c r="C26" s="3">
        <v>300</v>
      </c>
      <c r="D26" s="25" t="s">
        <v>113</v>
      </c>
      <c r="E26" s="41">
        <v>42276</v>
      </c>
      <c r="F26" s="25" t="s">
        <v>124</v>
      </c>
      <c r="G26" s="25" t="s">
        <v>159</v>
      </c>
      <c r="H26" s="25" t="s">
        <v>160</v>
      </c>
      <c r="I26" s="25" t="s">
        <v>115</v>
      </c>
      <c r="J26" s="1"/>
      <c r="K26" s="1"/>
      <c r="L26" s="25" t="s">
        <v>37</v>
      </c>
      <c r="M26" s="3" t="e">
        <f>#REF!*0.03*0.5-47.1+#REF!</f>
        <v>#REF!</v>
      </c>
      <c r="N26" s="3">
        <f>SUMIF(F1:F44,L13:L32,C1:C44)</f>
        <v>155.82</v>
      </c>
      <c r="O26" s="86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</row>
    <row r="27" spans="1:39" ht="18.95" customHeight="1" x14ac:dyDescent="0.25">
      <c r="A27" s="38"/>
      <c r="B27" s="39">
        <v>15</v>
      </c>
      <c r="C27" s="40">
        <f>1-0.97</f>
        <v>3.0000000000000027E-2</v>
      </c>
      <c r="D27" s="25" t="s">
        <v>113</v>
      </c>
      <c r="E27" s="25" t="s">
        <v>161</v>
      </c>
      <c r="F27" s="25" t="s">
        <v>37</v>
      </c>
      <c r="G27" s="25" t="s">
        <v>162</v>
      </c>
      <c r="H27" s="25" t="s">
        <v>136</v>
      </c>
      <c r="I27" s="25" t="s">
        <v>115</v>
      </c>
      <c r="J27" s="3"/>
      <c r="K27" s="1"/>
      <c r="L27" s="4"/>
      <c r="M27" s="3"/>
      <c r="N27" s="63"/>
      <c r="O27" s="86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</row>
    <row r="28" spans="1:39" ht="18.95" customHeight="1" x14ac:dyDescent="0.25">
      <c r="A28" s="1"/>
      <c r="B28" s="49">
        <v>16</v>
      </c>
      <c r="C28" s="3">
        <f>33</f>
        <v>33</v>
      </c>
      <c r="D28" s="25" t="s">
        <v>113</v>
      </c>
      <c r="E28" s="41">
        <v>42249</v>
      </c>
      <c r="F28" s="25" t="s">
        <v>127</v>
      </c>
      <c r="G28" s="25" t="s">
        <v>179</v>
      </c>
      <c r="H28" s="25" t="s">
        <v>163</v>
      </c>
      <c r="I28" s="25" t="s">
        <v>115</v>
      </c>
      <c r="J28" s="1"/>
      <c r="K28" s="1"/>
      <c r="L28" s="4"/>
      <c r="M28" s="3"/>
      <c r="N28" s="63"/>
      <c r="O28" s="84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</row>
    <row r="29" spans="1:39" ht="18.95" customHeight="1" x14ac:dyDescent="0.25">
      <c r="A29" s="38"/>
      <c r="B29" s="39">
        <v>17</v>
      </c>
      <c r="C29" s="40">
        <f>26+39+13+60</f>
        <v>138</v>
      </c>
      <c r="D29" s="25" t="s">
        <v>164</v>
      </c>
      <c r="E29" s="41">
        <v>42249</v>
      </c>
      <c r="F29" s="25" t="s">
        <v>123</v>
      </c>
      <c r="G29" s="25" t="s">
        <v>165</v>
      </c>
      <c r="H29" s="25" t="s">
        <v>109</v>
      </c>
      <c r="I29" s="25" t="s">
        <v>106</v>
      </c>
      <c r="J29" s="1"/>
      <c r="K29" s="1"/>
      <c r="L29" s="11"/>
      <c r="M29" s="32"/>
      <c r="N29" s="64"/>
      <c r="O29" s="84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</row>
    <row r="30" spans="1:39" ht="18.95" customHeight="1" x14ac:dyDescent="0.25">
      <c r="A30" s="38"/>
      <c r="B30" s="39">
        <v>18</v>
      </c>
      <c r="C30" s="40">
        <v>60</v>
      </c>
      <c r="D30" s="25" t="s">
        <v>113</v>
      </c>
      <c r="E30" s="41">
        <v>42249</v>
      </c>
      <c r="F30" s="25" t="s">
        <v>123</v>
      </c>
      <c r="G30" s="25" t="s">
        <v>166</v>
      </c>
      <c r="H30" s="25" t="s">
        <v>117</v>
      </c>
      <c r="I30" s="25" t="s">
        <v>115</v>
      </c>
      <c r="J30" s="1"/>
      <c r="K30" s="1"/>
      <c r="L30" s="11"/>
      <c r="M30" s="32"/>
      <c r="N30" s="64"/>
      <c r="O30" s="84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</row>
    <row r="31" spans="1:39" ht="18.95" customHeight="1" x14ac:dyDescent="0.25">
      <c r="A31" s="38"/>
      <c r="B31" s="39">
        <v>19</v>
      </c>
      <c r="C31" s="40">
        <v>30</v>
      </c>
      <c r="D31" s="25" t="s">
        <v>113</v>
      </c>
      <c r="E31" s="41">
        <v>42249</v>
      </c>
      <c r="F31" s="25" t="s">
        <v>123</v>
      </c>
      <c r="G31" s="25" t="s">
        <v>167</v>
      </c>
      <c r="H31" s="25" t="s">
        <v>117</v>
      </c>
      <c r="I31" s="25" t="s">
        <v>115</v>
      </c>
      <c r="J31" s="1"/>
      <c r="K31" s="1"/>
      <c r="L31" s="11"/>
      <c r="M31" s="32"/>
      <c r="N31" s="64"/>
      <c r="O31" s="84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</row>
    <row r="32" spans="1:39" ht="18.95" customHeight="1" x14ac:dyDescent="0.25">
      <c r="A32" s="38"/>
      <c r="B32" s="39">
        <v>20</v>
      </c>
      <c r="C32" s="40">
        <f>1+1</f>
        <v>2</v>
      </c>
      <c r="D32" s="25" t="s">
        <v>168</v>
      </c>
      <c r="E32" s="41">
        <v>42249</v>
      </c>
      <c r="F32" s="25" t="s">
        <v>37</v>
      </c>
      <c r="G32" s="25" t="s">
        <v>169</v>
      </c>
      <c r="H32" s="25" t="s">
        <v>163</v>
      </c>
      <c r="I32" s="25" t="s">
        <v>106</v>
      </c>
      <c r="J32" s="1"/>
      <c r="K32" s="1"/>
      <c r="L32" s="4"/>
      <c r="M32" s="3"/>
      <c r="N32" s="63"/>
      <c r="O32" s="87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</row>
    <row r="33" spans="1:39" ht="18.95" customHeight="1" x14ac:dyDescent="0.25">
      <c r="A33" s="38"/>
      <c r="B33" s="39">
        <v>21</v>
      </c>
      <c r="C33" s="40">
        <f>520+520+520+580+440+440+520</f>
        <v>3540</v>
      </c>
      <c r="D33" s="25" t="s">
        <v>113</v>
      </c>
      <c r="E33" s="41">
        <v>42250</v>
      </c>
      <c r="F33" s="25" t="s">
        <v>144</v>
      </c>
      <c r="G33" s="25" t="s">
        <v>182</v>
      </c>
      <c r="H33" s="25" t="s">
        <v>117</v>
      </c>
      <c r="I33" s="25" t="s">
        <v>115</v>
      </c>
      <c r="J33" s="1"/>
      <c r="K33" s="1"/>
      <c r="L33" s="1"/>
      <c r="M33" s="1"/>
      <c r="N33" s="1"/>
      <c r="O33" s="38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</row>
    <row r="34" spans="1:39" ht="18.95" customHeight="1" x14ac:dyDescent="0.25">
      <c r="A34" s="38"/>
      <c r="B34" s="39">
        <v>22</v>
      </c>
      <c r="C34" s="40">
        <f>440+440+440+440+396+308</f>
        <v>2464</v>
      </c>
      <c r="D34" s="25" t="s">
        <v>113</v>
      </c>
      <c r="E34" s="41">
        <v>42250</v>
      </c>
      <c r="F34" s="25" t="s">
        <v>146</v>
      </c>
      <c r="G34" s="25" t="s">
        <v>180</v>
      </c>
      <c r="H34" s="1" t="s">
        <v>117</v>
      </c>
      <c r="I34" s="1" t="s">
        <v>115</v>
      </c>
      <c r="J34" s="1"/>
      <c r="K34" s="1"/>
      <c r="L34" s="1"/>
      <c r="M34" s="1"/>
      <c r="N34" s="1"/>
      <c r="O34" s="38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</row>
    <row r="35" spans="1:39" ht="18.95" customHeight="1" x14ac:dyDescent="0.25">
      <c r="A35" s="1"/>
      <c r="B35" s="73">
        <v>23</v>
      </c>
      <c r="C35" s="3">
        <v>158.11000000000001</v>
      </c>
      <c r="D35" s="1" t="s">
        <v>113</v>
      </c>
      <c r="E35" s="41">
        <v>42282</v>
      </c>
      <c r="F35" s="1" t="s">
        <v>131</v>
      </c>
      <c r="G35" s="1" t="s">
        <v>181</v>
      </c>
      <c r="H35" s="1" t="s">
        <v>163</v>
      </c>
      <c r="I35" s="1" t="s">
        <v>115</v>
      </c>
      <c r="J35" s="1"/>
      <c r="K35" s="1"/>
      <c r="L35" s="1"/>
      <c r="M35" s="1"/>
      <c r="N35" s="1"/>
      <c r="O35" s="38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</row>
    <row r="36" spans="1:39" ht="18.95" customHeight="1" x14ac:dyDescent="0.25">
      <c r="A36" s="1"/>
      <c r="B36" s="1"/>
      <c r="C36" s="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38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ht="18.95" customHeight="1" x14ac:dyDescent="0">
      <c r="A37" s="1"/>
      <c r="B37" s="1"/>
      <c r="C37" s="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38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ht="18.95" customHeight="1" x14ac:dyDescent="0">
      <c r="A38" s="1"/>
      <c r="B38" s="1"/>
      <c r="C38" s="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38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ht="18.95" customHeight="1" x14ac:dyDescent="0">
      <c r="A39" s="1"/>
      <c r="B39" s="1"/>
      <c r="C39" s="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38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</row>
    <row r="40" spans="1:39" ht="18.95" customHeight="1" x14ac:dyDescent="0">
      <c r="A40" s="1"/>
      <c r="B40" s="1"/>
      <c r="C40" s="3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38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</row>
    <row r="41" spans="1:39" ht="18.95" customHeight="1" x14ac:dyDescent="0">
      <c r="A41" s="1"/>
      <c r="B41" s="1"/>
      <c r="C41" s="3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38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</row>
    <row r="42" spans="1:39" ht="18.95" customHeight="1" x14ac:dyDescent="0">
      <c r="A42" s="1"/>
      <c r="B42" s="1"/>
      <c r="C42" s="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38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</row>
    <row r="43" spans="1:39" ht="18.95" customHeight="1" x14ac:dyDescent="0">
      <c r="A43" s="1"/>
      <c r="B43" s="1"/>
      <c r="C43" s="3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38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</row>
    <row r="44" spans="1:39" ht="18.95" customHeight="1" x14ac:dyDescent="0">
      <c r="A44" s="1"/>
      <c r="B44" s="1"/>
      <c r="C44" s="3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38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</row>
    <row r="45" spans="1:39" ht="15" customHeight="1" x14ac:dyDescent="0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78"/>
      <c r="L45" s="1"/>
      <c r="M45" s="1"/>
      <c r="N45" s="1"/>
      <c r="O45" s="78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</row>
    <row r="46" spans="1:39" ht="15" customHeight="1" x14ac:dyDescent="0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78"/>
      <c r="L46" s="25"/>
      <c r="M46" s="25"/>
      <c r="N46" s="25"/>
      <c r="O46" s="78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</row>
    <row r="47" spans="1:39" ht="15" customHeight="1" x14ac:dyDescent="0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78"/>
      <c r="L47" s="25"/>
      <c r="M47" s="25"/>
      <c r="N47" s="25"/>
      <c r="O47" s="78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</row>
    <row r="48" spans="1:39" ht="15" customHeight="1" x14ac:dyDescent="0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78"/>
      <c r="L48" s="25"/>
      <c r="M48" s="25"/>
      <c r="N48" s="25"/>
      <c r="O48" s="78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</row>
    <row r="49" spans="1:39" ht="15" customHeight="1" x14ac:dyDescent="0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78"/>
      <c r="L49" s="25"/>
      <c r="M49" s="25"/>
      <c r="N49" s="25"/>
      <c r="O49" s="78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</row>
    <row r="50" spans="1:39" ht="15" customHeight="1" x14ac:dyDescent="0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78"/>
      <c r="L50" s="25"/>
      <c r="M50" s="25"/>
      <c r="N50" s="25"/>
      <c r="O50" s="78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</row>
    <row r="51" spans="1:39" ht="15" customHeight="1" x14ac:dyDescent="0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78"/>
      <c r="L51" s="25"/>
      <c r="M51" s="25"/>
      <c r="N51" s="25"/>
      <c r="O51" s="78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</row>
    <row r="52" spans="1:39" ht="15" customHeight="1" x14ac:dyDescent="0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78"/>
      <c r="L52" s="25"/>
      <c r="M52" s="25"/>
      <c r="N52" s="25"/>
      <c r="O52" s="78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</row>
    <row r="53" spans="1:39" ht="15" customHeight="1" x14ac:dyDescent="0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78"/>
      <c r="L53" s="25"/>
      <c r="M53" s="25"/>
      <c r="N53" s="25"/>
      <c r="O53" s="78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</row>
    <row r="54" spans="1:39" ht="15" customHeight="1" x14ac:dyDescent="0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78"/>
      <c r="L54" s="25"/>
      <c r="M54" s="25"/>
      <c r="N54" s="25"/>
      <c r="O54" s="78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</row>
    <row r="55" spans="1:39" ht="15" customHeight="1" x14ac:dyDescent="0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78"/>
      <c r="L55" s="25"/>
      <c r="M55" s="25"/>
      <c r="N55" s="25"/>
      <c r="O55" s="78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</row>
    <row r="56" spans="1:39" ht="15" customHeight="1" x14ac:dyDescent="0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78"/>
      <c r="L56" s="25"/>
      <c r="M56" s="25"/>
      <c r="N56" s="25"/>
      <c r="O56" s="78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</row>
    <row r="57" spans="1:39" ht="15" customHeight="1" x14ac:dyDescent="0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78"/>
      <c r="L57" s="25"/>
      <c r="M57" s="25"/>
      <c r="N57" s="25"/>
      <c r="O57" s="78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</row>
    <row r="58" spans="1:39" ht="15" customHeight="1" x14ac:dyDescent="0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78"/>
      <c r="L58" s="25"/>
      <c r="M58" s="25"/>
      <c r="N58" s="25"/>
      <c r="O58" s="78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</row>
    <row r="59" spans="1:39" ht="15" customHeight="1" x14ac:dyDescent="0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78"/>
      <c r="L59" s="25"/>
      <c r="M59" s="25"/>
      <c r="N59" s="25"/>
      <c r="O59" s="78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</row>
    <row r="60" spans="1:39" ht="15" customHeight="1" x14ac:dyDescent="0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78"/>
      <c r="L60" s="25"/>
      <c r="M60" s="25"/>
      <c r="N60" s="25"/>
      <c r="O60" s="78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</row>
    <row r="61" spans="1:39" ht="15" customHeight="1" x14ac:dyDescent="0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78"/>
      <c r="L61" s="25"/>
      <c r="M61" s="25"/>
      <c r="N61" s="25"/>
      <c r="O61" s="78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</row>
    <row r="62" spans="1:39" ht="15" customHeight="1" x14ac:dyDescent="0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78"/>
      <c r="L62" s="25"/>
      <c r="M62" s="25"/>
      <c r="N62" s="25"/>
      <c r="O62" s="78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</row>
    <row r="63" spans="1:39" ht="15" customHeight="1" x14ac:dyDescent="0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78"/>
      <c r="L63" s="25"/>
      <c r="M63" s="25"/>
      <c r="N63" s="25"/>
      <c r="O63" s="78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</row>
    <row r="64" spans="1:39" ht="15" customHeight="1" x14ac:dyDescent="0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78"/>
      <c r="L64" s="25"/>
      <c r="M64" s="25"/>
      <c r="N64" s="25"/>
      <c r="O64" s="78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</row>
    <row r="65" spans="1:39" ht="15" customHeight="1" x14ac:dyDescent="0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78"/>
      <c r="L65" s="25"/>
      <c r="M65" s="25"/>
      <c r="N65" s="25"/>
      <c r="O65" s="78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</row>
    <row r="66" spans="1:39" ht="15" customHeight="1" x14ac:dyDescent="0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78"/>
      <c r="L66" s="25"/>
      <c r="M66" s="25"/>
      <c r="N66" s="25"/>
      <c r="O66" s="78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</row>
    <row r="67" spans="1:39" ht="15" customHeight="1" x14ac:dyDescent="0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78"/>
      <c r="L67" s="25"/>
      <c r="M67" s="25"/>
      <c r="N67" s="25"/>
      <c r="O67" s="78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</row>
    <row r="68" spans="1:39" ht="15" customHeight="1" x14ac:dyDescent="0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78"/>
      <c r="L68" s="25"/>
      <c r="M68" s="25"/>
      <c r="N68" s="25"/>
      <c r="O68" s="78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</row>
    <row r="69" spans="1:39" ht="15" customHeight="1" x14ac:dyDescent="0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78"/>
      <c r="L69" s="25"/>
      <c r="M69" s="25"/>
      <c r="N69" s="25"/>
      <c r="O69" s="78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</row>
    <row r="70" spans="1:39" ht="15" customHeight="1" x14ac:dyDescent="0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78"/>
      <c r="L70" s="25"/>
      <c r="M70" s="25"/>
      <c r="N70" s="25"/>
      <c r="O70" s="78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</row>
    <row r="71" spans="1:39" ht="15" customHeight="1" x14ac:dyDescent="0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78"/>
      <c r="L71" s="25"/>
      <c r="M71" s="25"/>
      <c r="N71" s="25"/>
      <c r="O71" s="78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</row>
    <row r="72" spans="1:39" ht="15" customHeight="1" x14ac:dyDescent="0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78"/>
      <c r="L72" s="25"/>
      <c r="M72" s="25"/>
      <c r="N72" s="25"/>
      <c r="O72" s="78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</row>
    <row r="73" spans="1:39" ht="15" customHeight="1" x14ac:dyDescent="0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78"/>
      <c r="L73" s="25"/>
      <c r="M73" s="25"/>
      <c r="N73" s="25"/>
      <c r="O73" s="78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</row>
    <row r="74" spans="1:39" ht="15" customHeight="1" x14ac:dyDescent="0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78"/>
      <c r="L74" s="25"/>
      <c r="M74" s="25"/>
      <c r="N74" s="25"/>
      <c r="O74" s="78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</row>
    <row r="75" spans="1:39" ht="15" customHeight="1" x14ac:dyDescent="0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88"/>
      <c r="M75" s="25"/>
      <c r="N75" s="25"/>
      <c r="O75" s="78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</row>
    <row r="76" spans="1:39" ht="15" customHeight="1" x14ac:dyDescent="0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88"/>
      <c r="M76" s="25"/>
      <c r="N76" s="25"/>
      <c r="O76" s="78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</row>
    <row r="77" spans="1:39" ht="15" customHeight="1" x14ac:dyDescent="0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88"/>
      <c r="M77" s="25"/>
      <c r="N77" s="25"/>
      <c r="O77" s="78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</row>
    <row r="78" spans="1:39" ht="15" customHeight="1" x14ac:dyDescent="0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88"/>
      <c r="M78" s="25"/>
      <c r="N78" s="25"/>
      <c r="O78" s="78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</row>
    <row r="79" spans="1:39" ht="15" customHeight="1" x14ac:dyDescent="0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88"/>
      <c r="M79" s="25"/>
      <c r="N79" s="25"/>
      <c r="O79" s="78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</row>
    <row r="80" spans="1:39" ht="15" customHeight="1" x14ac:dyDescent="0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88"/>
      <c r="M80" s="25"/>
      <c r="N80" s="25"/>
      <c r="O80" s="78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</row>
    <row r="81" spans="1:39" ht="15" customHeight="1" x14ac:dyDescent="0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88"/>
      <c r="M81" s="25"/>
      <c r="N81" s="25"/>
      <c r="O81" s="78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</row>
    <row r="82" spans="1:39" ht="15" customHeight="1" x14ac:dyDescent="0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88"/>
      <c r="M82" s="25"/>
      <c r="N82" s="25"/>
      <c r="O82" s="78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</row>
    <row r="83" spans="1:39" ht="15" customHeight="1" x14ac:dyDescent="0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88"/>
      <c r="M83" s="25"/>
      <c r="N83" s="25"/>
      <c r="O83" s="78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</row>
    <row r="84" spans="1:39" ht="15" customHeight="1" x14ac:dyDescent="0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88"/>
      <c r="M84" s="25"/>
      <c r="N84" s="25"/>
      <c r="O84" s="78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</row>
    <row r="85" spans="1:39" ht="15" customHeight="1" x14ac:dyDescent="0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88"/>
      <c r="M85" s="25"/>
      <c r="N85" s="25"/>
      <c r="O85" s="78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</row>
    <row r="86" spans="1:39" ht="15" customHeight="1" x14ac:dyDescent="0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88"/>
      <c r="M86" s="25"/>
      <c r="N86" s="25"/>
      <c r="O86" s="78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</row>
    <row r="87" spans="1:39" ht="15" customHeight="1" x14ac:dyDescent="0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88"/>
      <c r="M87" s="25"/>
      <c r="N87" s="25"/>
      <c r="O87" s="78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</row>
    <row r="88" spans="1:39" ht="15" customHeight="1" x14ac:dyDescent="0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88"/>
      <c r="M88" s="25"/>
      <c r="N88" s="25"/>
      <c r="O88" s="78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</row>
    <row r="89" spans="1:39" ht="15" customHeight="1" x14ac:dyDescent="0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77"/>
      <c r="O89" s="77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</row>
    <row r="90" spans="1:39" ht="15" customHeight="1" x14ac:dyDescent="0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77"/>
      <c r="O90" s="77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</row>
    <row r="91" spans="1:39" ht="15" customHeight="1" x14ac:dyDescent="0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77"/>
      <c r="O91" s="77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</row>
    <row r="92" spans="1:39" ht="15" customHeight="1" x14ac:dyDescent="0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77"/>
      <c r="O92" s="77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</row>
    <row r="93" spans="1:39" ht="15" customHeight="1" x14ac:dyDescent="0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77"/>
      <c r="O93" s="77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</row>
    <row r="94" spans="1:39" ht="15" customHeight="1" x14ac:dyDescent="0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77"/>
      <c r="O94" s="77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</row>
    <row r="95" spans="1:39" ht="15" customHeight="1" x14ac:dyDescent="0">
      <c r="O95" s="77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</row>
    <row r="96" spans="1:39" ht="15" customHeight="1" x14ac:dyDescent="0">
      <c r="O96" s="77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</row>
    <row r="97" spans="15:39" ht="15" customHeight="1" x14ac:dyDescent="0">
      <c r="O97" s="77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</row>
    <row r="98" spans="15:39" ht="15" customHeight="1" x14ac:dyDescent="0">
      <c r="O98" s="77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</row>
    <row r="99" spans="15:39" ht="15" customHeight="1" x14ac:dyDescent="0">
      <c r="O99" s="77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</row>
    <row r="100" spans="15:39" ht="15" customHeight="1" x14ac:dyDescent="0">
      <c r="O100" s="77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</row>
    <row r="101" spans="15:39" ht="15" customHeight="1" x14ac:dyDescent="0">
      <c r="O101" s="77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</row>
    <row r="102" spans="15:39" ht="15" customHeight="1" x14ac:dyDescent="0">
      <c r="O102" s="77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</row>
    <row r="103" spans="15:39" ht="15" customHeight="1" x14ac:dyDescent="0">
      <c r="O103" s="77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</row>
    <row r="104" spans="15:39" ht="15" customHeight="1" x14ac:dyDescent="0">
      <c r="O104" s="77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</row>
    <row r="105" spans="15:39" ht="15" customHeight="1" x14ac:dyDescent="0">
      <c r="O105" s="77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</row>
    <row r="106" spans="15:39" ht="15" customHeight="1" x14ac:dyDescent="0">
      <c r="O106" s="77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</row>
    <row r="107" spans="15:39" ht="15" customHeight="1" x14ac:dyDescent="0">
      <c r="O107" s="77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</row>
    <row r="108" spans="15:39" ht="15" customHeight="1" x14ac:dyDescent="0">
      <c r="O108" s="77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</row>
    <row r="109" spans="15:39" ht="15" customHeight="1" x14ac:dyDescent="0">
      <c r="O109" s="77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</row>
    <row r="110" spans="15:39" ht="15" customHeight="1" x14ac:dyDescent="0">
      <c r="O110" s="77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</row>
    <row r="111" spans="15:39" ht="15" customHeight="1" x14ac:dyDescent="0">
      <c r="O111" s="77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</row>
    <row r="112" spans="15:39" ht="15" customHeight="1" x14ac:dyDescent="0">
      <c r="O112" s="77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</row>
    <row r="113" spans="15:39" ht="15" customHeight="1" x14ac:dyDescent="0">
      <c r="O113" s="77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</row>
    <row r="114" spans="15:39" ht="15" customHeight="1" x14ac:dyDescent="0">
      <c r="O114" s="77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</row>
    <row r="115" spans="15:39" ht="15" customHeight="1" x14ac:dyDescent="0">
      <c r="O115" s="77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</row>
    <row r="116" spans="15:39" ht="15" customHeight="1" x14ac:dyDescent="0">
      <c r="O116" s="77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</row>
  </sheetData>
  <dataValidations count="1">
    <dataValidation type="list" allowBlank="1" showInputMessage="1" showErrorMessage="1" sqref="F4:F75">
      <formula1>$L$13:$L$26</formula1>
    </dataValidation>
  </dataValidations>
  <pageMargins left="0.75" right="0.75" top="1" bottom="1" header="0.5" footer="0.5"/>
  <pageSetup orientation="portrait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0"/>
  <sheetViews>
    <sheetView showGridLines="0" topLeftCell="G1" workbookViewId="0"/>
  </sheetViews>
  <sheetFormatPr defaultColWidth="9.3984375" defaultRowHeight="15" customHeight="1" x14ac:dyDescent="0.25"/>
  <cols>
    <col min="1" max="3" width="9.3984375" style="74" customWidth="1"/>
    <col min="4" max="5" width="13.8984375" style="74" customWidth="1"/>
    <col min="6" max="6" width="18.09765625" style="74" customWidth="1"/>
    <col min="7" max="7" width="35.59765625" style="74" customWidth="1"/>
    <col min="8" max="8" width="13.59765625" style="74" customWidth="1"/>
    <col min="9" max="10" width="9.3984375" style="74" customWidth="1"/>
    <col min="11" max="11" width="7.09765625" style="74" customWidth="1"/>
    <col min="12" max="12" width="23.59765625" style="74" customWidth="1"/>
    <col min="13" max="13" width="12.3984375" style="74" customWidth="1"/>
    <col min="14" max="14" width="11.19921875" style="74" customWidth="1"/>
    <col min="15" max="15" width="18" style="74" customWidth="1"/>
    <col min="16" max="256" width="9.3984375" style="74" customWidth="1"/>
  </cols>
  <sheetData>
    <row r="1" spans="1:15" ht="18.9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95" customHeight="1" x14ac:dyDescent="0.25">
      <c r="A2" s="1"/>
      <c r="B2" s="34" t="s">
        <v>97</v>
      </c>
      <c r="C2" s="34" t="s">
        <v>98</v>
      </c>
      <c r="D2" s="34" t="s">
        <v>99</v>
      </c>
      <c r="E2" s="34" t="s">
        <v>172</v>
      </c>
      <c r="F2" s="34" t="s">
        <v>101</v>
      </c>
      <c r="G2" s="34" t="s">
        <v>8</v>
      </c>
      <c r="H2" s="34" t="s">
        <v>102</v>
      </c>
      <c r="I2" s="34" t="s">
        <v>103</v>
      </c>
      <c r="J2" s="4"/>
      <c r="K2" s="4"/>
      <c r="L2" s="4"/>
      <c r="M2" s="3"/>
      <c r="N2" s="3"/>
      <c r="O2" s="3"/>
    </row>
    <row r="3" spans="1:15" ht="18.95" customHeight="1" x14ac:dyDescent="0.25">
      <c r="A3" s="1"/>
      <c r="B3" s="35"/>
      <c r="C3" s="3"/>
      <c r="D3" s="4"/>
      <c r="E3" s="4"/>
      <c r="F3" s="4"/>
      <c r="G3" s="4"/>
      <c r="H3" s="4"/>
      <c r="I3" s="4"/>
      <c r="J3" s="4"/>
      <c r="K3" s="36"/>
      <c r="L3" s="36"/>
      <c r="M3" s="37"/>
      <c r="N3" s="37"/>
      <c r="O3" s="37"/>
    </row>
    <row r="4" spans="1:15" ht="18.95" customHeight="1" x14ac:dyDescent="0.25">
      <c r="A4" s="38"/>
      <c r="B4" s="39">
        <v>1</v>
      </c>
      <c r="C4" s="40">
        <v>50</v>
      </c>
      <c r="D4" s="25" t="s">
        <v>132</v>
      </c>
      <c r="E4" s="4"/>
      <c r="F4" s="25" t="s">
        <v>123</v>
      </c>
      <c r="G4" s="25" t="s">
        <v>173</v>
      </c>
      <c r="H4" s="25" t="s">
        <v>109</v>
      </c>
      <c r="I4" s="25" t="s">
        <v>115</v>
      </c>
      <c r="J4" s="42"/>
      <c r="K4" s="43"/>
      <c r="L4" s="44"/>
      <c r="M4" s="45"/>
      <c r="N4" s="45"/>
      <c r="O4" s="46"/>
    </row>
    <row r="5" spans="1:15" ht="18.95" customHeight="1" x14ac:dyDescent="0.25">
      <c r="A5" s="1"/>
      <c r="B5" s="71">
        <v>2</v>
      </c>
      <c r="C5" s="3">
        <v>84.79</v>
      </c>
      <c r="D5" s="25" t="s">
        <v>132</v>
      </c>
      <c r="E5" s="41">
        <v>42275</v>
      </c>
      <c r="F5" s="25" t="s">
        <v>123</v>
      </c>
      <c r="G5" s="25" t="s">
        <v>174</v>
      </c>
      <c r="H5" s="25" t="s">
        <v>117</v>
      </c>
      <c r="I5" s="25" t="s">
        <v>115</v>
      </c>
      <c r="J5" s="42"/>
      <c r="K5" s="47"/>
      <c r="L5" s="34" t="s">
        <v>110</v>
      </c>
      <c r="M5" s="34" t="s">
        <v>111</v>
      </c>
      <c r="N5" s="34" t="s">
        <v>112</v>
      </c>
      <c r="O5" s="48"/>
    </row>
    <row r="6" spans="1:15" ht="18.95" customHeight="1" x14ac:dyDescent="0.25">
      <c r="A6" s="1"/>
      <c r="B6" s="4"/>
      <c r="C6" s="3"/>
      <c r="D6" s="4"/>
      <c r="E6" s="4"/>
      <c r="F6" s="4"/>
      <c r="G6" s="4"/>
      <c r="H6" s="4"/>
      <c r="I6" s="4"/>
      <c r="J6" s="42"/>
      <c r="K6" s="47"/>
      <c r="L6" s="4"/>
      <c r="M6" s="3"/>
      <c r="N6" s="3"/>
      <c r="O6" s="48"/>
    </row>
    <row r="7" spans="1:15" ht="18.95" customHeight="1" x14ac:dyDescent="0.25">
      <c r="A7" s="1"/>
      <c r="B7" s="4"/>
      <c r="C7" s="3"/>
      <c r="D7" s="4"/>
      <c r="E7" s="4"/>
      <c r="F7" s="4"/>
      <c r="G7" s="4"/>
      <c r="H7" s="4"/>
      <c r="I7" s="4"/>
      <c r="J7" s="42"/>
      <c r="K7" s="47"/>
      <c r="L7" s="50">
        <f>SUM(N13:N19)</f>
        <v>134.79000000000002</v>
      </c>
      <c r="M7" s="32" t="e">
        <f>SUM(M13:M19)</f>
        <v>#REF!</v>
      </c>
      <c r="N7" s="32" t="e">
        <f>M7-L7</f>
        <v>#REF!</v>
      </c>
      <c r="O7" s="48"/>
    </row>
    <row r="8" spans="1:15" ht="18.95" customHeight="1" x14ac:dyDescent="0.25">
      <c r="A8" s="1"/>
      <c r="B8" s="4"/>
      <c r="C8" s="3"/>
      <c r="D8" s="4"/>
      <c r="E8" s="4"/>
      <c r="F8" s="4"/>
      <c r="G8" s="4"/>
      <c r="H8" s="4"/>
      <c r="I8" s="4"/>
      <c r="J8" s="42"/>
      <c r="K8" s="52"/>
      <c r="L8" s="36"/>
      <c r="M8" s="37"/>
      <c r="N8" s="37"/>
      <c r="O8" s="53"/>
    </row>
    <row r="9" spans="1:15" ht="18.95" customHeight="1" x14ac:dyDescent="0.25">
      <c r="A9" s="1"/>
      <c r="B9" s="4"/>
      <c r="C9" s="3"/>
      <c r="D9" s="4"/>
      <c r="E9" s="4"/>
      <c r="F9" s="4"/>
      <c r="G9" s="4"/>
      <c r="H9" s="4"/>
      <c r="I9" s="4"/>
      <c r="J9" s="4"/>
      <c r="K9" s="44"/>
      <c r="L9" s="44"/>
      <c r="M9" s="45"/>
      <c r="N9" s="45"/>
      <c r="O9" s="45"/>
    </row>
    <row r="10" spans="1:15" ht="18.95" customHeight="1" x14ac:dyDescent="0.25">
      <c r="A10" s="1"/>
      <c r="B10" s="4"/>
      <c r="C10" s="3"/>
      <c r="D10" s="4"/>
      <c r="E10" s="4"/>
      <c r="F10" s="4"/>
      <c r="G10" s="4"/>
      <c r="H10" s="4"/>
      <c r="I10" s="4"/>
      <c r="J10" s="4"/>
      <c r="K10" s="4"/>
      <c r="L10" s="4"/>
      <c r="M10" s="3"/>
      <c r="N10" s="3"/>
      <c r="O10" s="3"/>
    </row>
    <row r="11" spans="1:15" ht="18.95" customHeight="1" x14ac:dyDescent="0.25">
      <c r="A11" s="1"/>
      <c r="B11" s="4"/>
      <c r="C11" s="3"/>
      <c r="D11" s="4"/>
      <c r="E11" s="4"/>
      <c r="F11" s="4"/>
      <c r="G11" s="4"/>
      <c r="H11" s="4"/>
      <c r="I11" s="4"/>
      <c r="J11" s="3"/>
      <c r="K11" s="4"/>
      <c r="L11" s="34" t="s">
        <v>119</v>
      </c>
      <c r="M11" s="34" t="s">
        <v>111</v>
      </c>
      <c r="N11" s="34" t="s">
        <v>120</v>
      </c>
      <c r="O11" s="34" t="s">
        <v>121</v>
      </c>
    </row>
    <row r="12" spans="1:15" ht="18.95" customHeight="1" x14ac:dyDescent="0.25">
      <c r="A12" s="1"/>
      <c r="B12" s="4"/>
      <c r="C12" s="3"/>
      <c r="D12" s="4"/>
      <c r="E12" s="4"/>
      <c r="F12" s="4"/>
      <c r="G12" s="4"/>
      <c r="H12" s="4"/>
      <c r="I12" s="4"/>
      <c r="J12" s="3"/>
      <c r="K12" s="4"/>
      <c r="L12" s="4"/>
      <c r="M12" s="3"/>
      <c r="N12" s="3"/>
      <c r="O12" s="54"/>
    </row>
    <row r="13" spans="1:15" ht="18.95" customHeight="1" x14ac:dyDescent="0.25">
      <c r="A13" s="1"/>
      <c r="B13" s="4"/>
      <c r="C13" s="3"/>
      <c r="D13" s="4"/>
      <c r="E13" s="4"/>
      <c r="F13" s="4"/>
      <c r="G13" s="4"/>
      <c r="H13" s="4"/>
      <c r="I13" s="4"/>
      <c r="J13" s="3"/>
      <c r="K13" s="4"/>
      <c r="L13" s="25" t="s">
        <v>175</v>
      </c>
      <c r="M13" s="3" t="e">
        <f>SUM(#REF!)</f>
        <v>#REF!</v>
      </c>
      <c r="N13" s="63">
        <f>SUMIF(F1:F30,L13:L24,C1:C30)</f>
        <v>0</v>
      </c>
      <c r="O13" s="56" t="e">
        <f t="shared" ref="O13:O19" si="0">M13-N13</f>
        <v>#REF!</v>
      </c>
    </row>
    <row r="14" spans="1:15" ht="18.95" customHeight="1" x14ac:dyDescent="0.25">
      <c r="A14" s="1"/>
      <c r="B14" s="4"/>
      <c r="C14" s="3"/>
      <c r="D14" s="4"/>
      <c r="E14" s="4"/>
      <c r="F14" s="4"/>
      <c r="G14" s="4"/>
      <c r="H14" s="4"/>
      <c r="I14" s="4"/>
      <c r="J14" s="3"/>
      <c r="K14" s="4"/>
      <c r="L14" s="25" t="s">
        <v>146</v>
      </c>
      <c r="M14" s="3" t="e">
        <f>SUM(#REF!)</f>
        <v>#REF!</v>
      </c>
      <c r="N14" s="63">
        <f>SUMIF(F1:F30,L13:L30,C1:C30)</f>
        <v>0</v>
      </c>
      <c r="O14" s="56" t="e">
        <f t="shared" si="0"/>
        <v>#REF!</v>
      </c>
    </row>
    <row r="15" spans="1:15" ht="15.95" customHeight="1" x14ac:dyDescent="0.3">
      <c r="A15" s="1"/>
      <c r="B15" s="4"/>
      <c r="C15" s="3"/>
      <c r="D15" s="4"/>
      <c r="E15" s="4"/>
      <c r="F15" s="4"/>
      <c r="G15" s="4"/>
      <c r="H15" s="4"/>
      <c r="I15" s="4"/>
      <c r="J15" s="4"/>
      <c r="K15" s="4"/>
      <c r="L15" s="66" t="s">
        <v>176</v>
      </c>
      <c r="M15" s="3" t="e">
        <f>#REF!</f>
        <v>#REF!</v>
      </c>
      <c r="N15" s="63">
        <f>SUMIF(F1:F30,L13:L30,C1:C30)</f>
        <v>0</v>
      </c>
      <c r="O15" s="56" t="e">
        <f t="shared" si="0"/>
        <v>#REF!</v>
      </c>
    </row>
    <row r="16" spans="1:15" ht="18.95" customHeight="1" x14ac:dyDescent="0.25">
      <c r="A16" s="1"/>
      <c r="B16" s="4"/>
      <c r="C16" s="3"/>
      <c r="D16" s="4"/>
      <c r="E16" s="4"/>
      <c r="F16" s="4"/>
      <c r="G16" s="4"/>
      <c r="H16" s="4"/>
      <c r="I16" s="4"/>
      <c r="J16" s="3"/>
      <c r="K16" s="4"/>
      <c r="L16" s="25" t="s">
        <v>128</v>
      </c>
      <c r="M16" s="3" t="e">
        <f>#REF!</f>
        <v>#REF!</v>
      </c>
      <c r="N16" s="63">
        <f>SUMIF(F1:F30,L13:L30,C1:C30)</f>
        <v>0</v>
      </c>
      <c r="O16" s="56" t="e">
        <f t="shared" si="0"/>
        <v>#REF!</v>
      </c>
    </row>
    <row r="17" spans="1:15" ht="18.95" customHeight="1" x14ac:dyDescent="0.25">
      <c r="A17" s="1"/>
      <c r="B17" s="4"/>
      <c r="C17" s="3"/>
      <c r="D17" s="4"/>
      <c r="E17" s="4"/>
      <c r="F17" s="4"/>
      <c r="G17" s="4"/>
      <c r="H17" s="4"/>
      <c r="I17" s="4"/>
      <c r="J17" s="4"/>
      <c r="K17" s="4"/>
      <c r="L17" s="25" t="s">
        <v>123</v>
      </c>
      <c r="M17" s="3" t="e">
        <f>#REF!</f>
        <v>#REF!</v>
      </c>
      <c r="N17" s="63">
        <f>SUMIF(F1:F30,L13:L30,C1:C30)</f>
        <v>134.79000000000002</v>
      </c>
      <c r="O17" s="56" t="e">
        <f t="shared" si="0"/>
        <v>#REF!</v>
      </c>
    </row>
    <row r="18" spans="1:15" ht="18.95" customHeight="1" x14ac:dyDescent="0.25">
      <c r="A18" s="1"/>
      <c r="B18" s="4"/>
      <c r="C18" s="3"/>
      <c r="D18" s="4"/>
      <c r="E18" s="4"/>
      <c r="F18" s="4"/>
      <c r="G18" s="4"/>
      <c r="H18" s="4"/>
      <c r="I18" s="4"/>
      <c r="J18" s="4"/>
      <c r="K18" s="4"/>
      <c r="L18" s="25" t="s">
        <v>171</v>
      </c>
      <c r="M18" s="3" t="e">
        <f>#REF!</f>
        <v>#REF!</v>
      </c>
      <c r="N18" s="63">
        <f>SUMIF(F1:F30,L13:L30,C1:C30)</f>
        <v>0</v>
      </c>
      <c r="O18" s="56" t="e">
        <f t="shared" si="0"/>
        <v>#REF!</v>
      </c>
    </row>
    <row r="19" spans="1:15" ht="15.95" customHeight="1" x14ac:dyDescent="0.3">
      <c r="A19" s="1"/>
      <c r="B19" s="4"/>
      <c r="C19" s="3"/>
      <c r="D19" s="4"/>
      <c r="E19" s="4"/>
      <c r="F19" s="4"/>
      <c r="G19" s="4"/>
      <c r="H19" s="4"/>
      <c r="I19" s="4"/>
      <c r="J19" s="4"/>
      <c r="K19" s="4"/>
      <c r="L19" s="66" t="s">
        <v>37</v>
      </c>
      <c r="M19" s="3">
        <v>0</v>
      </c>
      <c r="N19" s="63">
        <f>SUMIF(F1:F30,L13:L30,C1:C30)</f>
        <v>0</v>
      </c>
      <c r="O19" s="56">
        <f t="shared" si="0"/>
        <v>0</v>
      </c>
    </row>
    <row r="20" spans="1:15" ht="15.95" customHeight="1" x14ac:dyDescent="0.3">
      <c r="A20" s="1"/>
      <c r="B20" s="4"/>
      <c r="C20" s="3"/>
      <c r="D20" s="4"/>
      <c r="E20" s="4"/>
      <c r="F20" s="4"/>
      <c r="G20" s="4"/>
      <c r="H20" s="4"/>
      <c r="I20" s="4"/>
      <c r="J20" s="4"/>
      <c r="K20" s="4"/>
      <c r="L20" s="6"/>
      <c r="M20" s="3"/>
      <c r="N20" s="3"/>
      <c r="O20" s="60"/>
    </row>
    <row r="21" spans="1:15" ht="15.95" customHeight="1" x14ac:dyDescent="0.3">
      <c r="A21" s="1"/>
      <c r="B21" s="4"/>
      <c r="C21" s="3"/>
      <c r="D21" s="4"/>
      <c r="E21" s="4"/>
      <c r="F21" s="4"/>
      <c r="G21" s="4"/>
      <c r="H21" s="4"/>
      <c r="I21" s="4"/>
      <c r="J21" s="1"/>
      <c r="K21" s="1"/>
      <c r="L21" s="6"/>
      <c r="M21" s="3"/>
      <c r="N21" s="3"/>
      <c r="O21" s="54"/>
    </row>
    <row r="22" spans="1:15" ht="15.95" customHeight="1" x14ac:dyDescent="0.3">
      <c r="A22" s="1"/>
      <c r="B22" s="4"/>
      <c r="C22" s="3"/>
      <c r="D22" s="4"/>
      <c r="E22" s="4"/>
      <c r="F22" s="4"/>
      <c r="G22" s="4"/>
      <c r="H22" s="4"/>
      <c r="I22" s="4"/>
      <c r="J22" s="1"/>
      <c r="K22" s="1"/>
      <c r="L22" s="6"/>
      <c r="M22" s="3"/>
      <c r="N22" s="63"/>
      <c r="O22" s="56"/>
    </row>
    <row r="23" spans="1:15" ht="15.95" customHeight="1" x14ac:dyDescent="0.3">
      <c r="A23" s="1"/>
      <c r="B23" s="4"/>
      <c r="C23" s="3"/>
      <c r="D23" s="4"/>
      <c r="E23" s="4"/>
      <c r="F23" s="4"/>
      <c r="G23" s="4"/>
      <c r="H23" s="4"/>
      <c r="I23" s="4"/>
      <c r="J23" s="1"/>
      <c r="K23" s="1"/>
      <c r="L23" s="6"/>
      <c r="M23" s="3"/>
      <c r="N23" s="63"/>
      <c r="O23" s="56"/>
    </row>
    <row r="24" spans="1:15" ht="18.95" customHeight="1" x14ac:dyDescent="0.25">
      <c r="A24" s="1"/>
      <c r="B24" s="4"/>
      <c r="C24" s="3"/>
      <c r="D24" s="4"/>
      <c r="E24" s="4"/>
      <c r="F24" s="4"/>
      <c r="G24" s="4"/>
      <c r="H24" s="4"/>
      <c r="I24" s="4"/>
      <c r="J24" s="1"/>
      <c r="K24" s="1"/>
      <c r="L24" s="4"/>
      <c r="M24" s="3"/>
      <c r="N24" s="63"/>
      <c r="O24" s="56"/>
    </row>
    <row r="25" spans="1:15" ht="18.95" customHeight="1" x14ac:dyDescent="0.25">
      <c r="A25" s="1"/>
      <c r="B25" s="4"/>
      <c r="C25" s="3"/>
      <c r="D25" s="4"/>
      <c r="E25" s="4"/>
      <c r="F25" s="4"/>
      <c r="G25" s="4"/>
      <c r="H25" s="4"/>
      <c r="I25" s="4"/>
      <c r="J25" s="1"/>
      <c r="K25" s="1"/>
      <c r="L25" s="4"/>
      <c r="M25" s="3"/>
      <c r="N25" s="63"/>
      <c r="O25" s="56"/>
    </row>
    <row r="26" spans="1:15" ht="18.95" customHeight="1" x14ac:dyDescent="0.25">
      <c r="A26" s="1"/>
      <c r="B26" s="4"/>
      <c r="C26" s="3"/>
      <c r="D26" s="4"/>
      <c r="E26" s="4"/>
      <c r="F26" s="4"/>
      <c r="G26" s="4"/>
      <c r="H26" s="4"/>
      <c r="I26" s="4"/>
      <c r="J26" s="1"/>
      <c r="K26" s="1"/>
      <c r="L26" s="4"/>
      <c r="M26" s="3"/>
      <c r="N26" s="63"/>
      <c r="O26" s="56"/>
    </row>
    <row r="27" spans="1:15" ht="18.95" customHeight="1" x14ac:dyDescent="0.25">
      <c r="A27" s="1"/>
      <c r="B27" s="4"/>
      <c r="C27" s="3"/>
      <c r="D27" s="4"/>
      <c r="E27" s="4"/>
      <c r="F27" s="4"/>
      <c r="G27" s="4"/>
      <c r="H27" s="4"/>
      <c r="I27" s="4"/>
      <c r="J27" s="3"/>
      <c r="K27" s="1"/>
      <c r="L27" s="11"/>
      <c r="M27" s="32"/>
      <c r="N27" s="64"/>
      <c r="O27" s="59"/>
    </row>
    <row r="28" spans="1:15" ht="18.95" customHeight="1" x14ac:dyDescent="0.25">
      <c r="A28" s="1"/>
      <c r="B28" s="4"/>
      <c r="C28" s="3"/>
      <c r="D28" s="4"/>
      <c r="E28" s="4"/>
      <c r="F28" s="4"/>
      <c r="G28" s="4"/>
      <c r="H28" s="4"/>
      <c r="I28" s="4"/>
      <c r="J28" s="1"/>
      <c r="K28" s="1"/>
      <c r="L28" s="11"/>
      <c r="M28" s="32"/>
      <c r="N28" s="64"/>
      <c r="O28" s="59"/>
    </row>
    <row r="29" spans="1:15" ht="18.95" customHeight="1" x14ac:dyDescent="0.25">
      <c r="A29" s="1"/>
      <c r="B29" s="4"/>
      <c r="C29" s="3"/>
      <c r="D29" s="4"/>
      <c r="E29" s="4"/>
      <c r="F29" s="4"/>
      <c r="G29" s="4"/>
      <c r="H29" s="4"/>
      <c r="I29" s="4"/>
      <c r="J29" s="1"/>
      <c r="K29" s="1"/>
      <c r="L29" s="11"/>
      <c r="M29" s="32"/>
      <c r="N29" s="64"/>
      <c r="O29" s="59"/>
    </row>
    <row r="30" spans="1:15" ht="18.95" customHeight="1" x14ac:dyDescent="0.25">
      <c r="A30" s="1"/>
      <c r="B30" s="4"/>
      <c r="C30" s="3"/>
      <c r="D30" s="4"/>
      <c r="E30" s="4"/>
      <c r="F30" s="4"/>
      <c r="G30" s="4"/>
      <c r="H30" s="4"/>
      <c r="I30" s="4"/>
      <c r="J30" s="1"/>
      <c r="K30" s="1"/>
      <c r="L30" s="4"/>
      <c r="M30" s="3"/>
      <c r="N30" s="63"/>
      <c r="O30" s="59"/>
    </row>
  </sheetData>
  <pageMargins left="0.75" right="0.75" top="1" bottom="1" header="0.5" footer="0.5"/>
  <pageSetup orientation="portrait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93B4C24-C3CB-4B63-8257-F4D9DDC9B31B}"/>
</file>

<file path=customXml/itemProps2.xml><?xml version="1.0" encoding="utf-8"?>
<ds:datastoreItem xmlns:ds="http://schemas.openxmlformats.org/officeDocument/2006/customXml" ds:itemID="{42B1B291-93BA-4F3A-BEDA-4BC96E11F547}"/>
</file>

<file path=customXml/itemProps3.xml><?xml version="1.0" encoding="utf-8"?>
<ds:datastoreItem xmlns:ds="http://schemas.openxmlformats.org/officeDocument/2006/customXml" ds:itemID="{13BB5F96-1219-438B-AECF-9F0376647D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Overall Budget</vt:lpstr>
      <vt:lpstr>Overall Spend</vt:lpstr>
      <vt:lpstr>General Expenses</vt:lpstr>
      <vt:lpstr>MF Expenses</vt:lpstr>
      <vt:lpstr>Halloween Expenses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Tucker Emma (2017)</cp:lastModifiedBy>
  <dcterms:created xsi:type="dcterms:W3CDTF">2015-10-05T16:30:10Z</dcterms:created>
  <dcterms:modified xsi:type="dcterms:W3CDTF">2016-03-01T12:09:14Z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