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bookViews>
    <workbookView xWindow="0" yWindow="0" windowWidth="13080" windowHeight="2100" tabRatio="830" activeTab="1"/>
  </bookViews>
  <sheets>
    <sheet name="Top Sheet" sheetId="11" r:id="rId1"/>
    <sheet name="Future Forum" sheetId="9" r:id="rId2"/>
    <sheet name="Humber Live Hull Venue" sheetId="12" r:id="rId3"/>
    <sheet name="New Summary" sheetId="6" r:id="rId4"/>
    <sheet name="Summary" sheetId="3" r:id="rId5"/>
    <sheet name="Event 1 Hull" sheetId="4" r:id="rId6"/>
    <sheet name="BFI" sheetId="7" r:id="rId7"/>
    <sheet name="Substance Publication" sheetId="5" r:id="rId8"/>
    <sheet name="Sheet2" sheetId="2" r:id="rId9"/>
    <sheet name="Sheet1" sheetId="8" r:id="rId10"/>
    <sheet name="Saturday Wild Beasts" sheetId="10" r:id="rId11"/>
  </sheets>
  <externalReferences>
    <externalReference r:id="rId12"/>
  </externalReferences>
  <definedNames>
    <definedName name="_xlnm.Print_Area" localSheetId="8">Sheet2!$A$1:$L$67</definedName>
  </definedNames>
  <calcPr calcId="171026"/>
  <fileRecoveryPr repairLoad="1"/>
</workbook>
</file>

<file path=xl/calcChain.xml><?xml version="1.0" encoding="utf-8"?>
<calcChain xmlns="http://schemas.openxmlformats.org/spreadsheetml/2006/main">
  <c r="R156" i="10" l="1"/>
  <c r="Q156" i="10"/>
  <c r="P156" i="10"/>
  <c r="O156" i="10"/>
  <c r="L156" i="10"/>
  <c r="K156" i="10"/>
  <c r="J156" i="10"/>
  <c r="I156" i="10"/>
  <c r="F156" i="10"/>
  <c r="E156" i="10"/>
  <c r="D156" i="10"/>
  <c r="C156" i="10"/>
  <c r="R155" i="10"/>
  <c r="Q155" i="10"/>
  <c r="P155" i="10"/>
  <c r="O155" i="10"/>
  <c r="L155" i="10"/>
  <c r="K155" i="10"/>
  <c r="J155" i="10"/>
  <c r="I155" i="10"/>
  <c r="F155" i="10"/>
  <c r="E155" i="10"/>
  <c r="D155" i="10"/>
  <c r="C155" i="10"/>
  <c r="R147" i="10"/>
  <c r="Q147" i="10"/>
  <c r="P147" i="10"/>
  <c r="O147" i="10"/>
  <c r="L147" i="10"/>
  <c r="K147" i="10"/>
  <c r="J147" i="10"/>
  <c r="I147" i="10"/>
  <c r="F147" i="10"/>
  <c r="E147" i="10"/>
  <c r="D147" i="10"/>
  <c r="C147" i="10"/>
  <c r="R146" i="10"/>
  <c r="Q146" i="10"/>
  <c r="P146" i="10"/>
  <c r="O146" i="10"/>
  <c r="L146" i="10"/>
  <c r="K146" i="10"/>
  <c r="J146" i="10"/>
  <c r="I146" i="10"/>
  <c r="F146" i="10"/>
  <c r="E146" i="10"/>
  <c r="D146" i="10"/>
  <c r="C146" i="10"/>
  <c r="R144" i="10"/>
  <c r="Q144" i="10"/>
  <c r="P144" i="10"/>
  <c r="O144" i="10"/>
  <c r="L144" i="10"/>
  <c r="K144" i="10"/>
  <c r="J144" i="10"/>
  <c r="I144" i="10"/>
  <c r="F144" i="10"/>
  <c r="E144" i="10"/>
  <c r="D144" i="10"/>
  <c r="C144" i="10"/>
  <c r="R142" i="10"/>
  <c r="Q142" i="10"/>
  <c r="P142" i="10"/>
  <c r="O142" i="10"/>
  <c r="L142" i="10"/>
  <c r="K142" i="10"/>
  <c r="J142" i="10"/>
  <c r="I142" i="10"/>
  <c r="F142" i="10"/>
  <c r="E142" i="10"/>
  <c r="D142" i="10"/>
  <c r="C142" i="10"/>
  <c r="R140" i="10"/>
  <c r="Q140" i="10"/>
  <c r="P140" i="10"/>
  <c r="O140" i="10"/>
  <c r="L140" i="10"/>
  <c r="K140" i="10"/>
  <c r="J140" i="10"/>
  <c r="I140" i="10"/>
  <c r="F140" i="10"/>
  <c r="E140" i="10"/>
  <c r="D140" i="10"/>
  <c r="C140" i="10"/>
  <c r="R139" i="10"/>
  <c r="Q139" i="10"/>
  <c r="P139" i="10"/>
  <c r="O139" i="10"/>
  <c r="L139" i="10"/>
  <c r="K139" i="10"/>
  <c r="J139" i="10"/>
  <c r="I139" i="10"/>
  <c r="F139" i="10"/>
  <c r="E139" i="10"/>
  <c r="D139" i="10"/>
  <c r="C139" i="10"/>
  <c r="R137" i="10"/>
  <c r="Q137" i="10"/>
  <c r="P137" i="10"/>
  <c r="O137" i="10"/>
  <c r="L137" i="10"/>
  <c r="K137" i="10"/>
  <c r="J137" i="10"/>
  <c r="I137" i="10"/>
  <c r="F137" i="10"/>
  <c r="E137" i="10"/>
  <c r="D137" i="10"/>
  <c r="C137" i="10"/>
  <c r="R136" i="10"/>
  <c r="Q136" i="10"/>
  <c r="P136" i="10"/>
  <c r="O136" i="10"/>
  <c r="L136" i="10"/>
  <c r="K136" i="10"/>
  <c r="J136" i="10"/>
  <c r="I136" i="10"/>
  <c r="F136" i="10"/>
  <c r="E136" i="10"/>
  <c r="D136" i="10"/>
  <c r="C136" i="10"/>
  <c r="R134" i="10"/>
  <c r="Q134" i="10"/>
  <c r="P134" i="10"/>
  <c r="O134" i="10"/>
  <c r="L134" i="10"/>
  <c r="K134" i="10"/>
  <c r="J134" i="10"/>
  <c r="I134" i="10"/>
  <c r="F134" i="10"/>
  <c r="E134" i="10"/>
  <c r="D134" i="10"/>
  <c r="C134" i="10"/>
  <c r="R132" i="10"/>
  <c r="Q132" i="10"/>
  <c r="P132" i="10"/>
  <c r="O132" i="10"/>
  <c r="L132" i="10"/>
  <c r="K132" i="10"/>
  <c r="J132" i="10"/>
  <c r="I132" i="10"/>
  <c r="F132" i="10"/>
  <c r="E132" i="10"/>
  <c r="D132" i="10"/>
  <c r="C132" i="10"/>
  <c r="F116" i="10"/>
  <c r="E116" i="10"/>
  <c r="D116" i="10"/>
  <c r="C116" i="10"/>
  <c r="F107" i="10"/>
  <c r="E107" i="10"/>
  <c r="D107" i="10"/>
  <c r="C107" i="10"/>
  <c r="F101" i="10"/>
  <c r="E101" i="10"/>
  <c r="D101" i="10"/>
  <c r="C101" i="10"/>
  <c r="F96" i="10"/>
  <c r="E96" i="10"/>
  <c r="D96" i="10"/>
  <c r="C96" i="10"/>
  <c r="F94" i="10"/>
  <c r="E94" i="10"/>
  <c r="D94" i="10"/>
  <c r="C94" i="10"/>
  <c r="F87" i="10"/>
  <c r="E87" i="10"/>
  <c r="D87" i="10"/>
  <c r="C87" i="10"/>
  <c r="F85" i="10"/>
  <c r="E85" i="10"/>
  <c r="D85" i="10"/>
  <c r="C85" i="10"/>
  <c r="F84" i="10"/>
  <c r="E84" i="10"/>
  <c r="D84" i="10"/>
  <c r="C84" i="10"/>
  <c r="F80" i="10"/>
  <c r="E80" i="10"/>
  <c r="D80" i="10"/>
  <c r="C80" i="10"/>
  <c r="F74" i="10"/>
  <c r="E74" i="10"/>
  <c r="D74" i="10"/>
  <c r="C74" i="10"/>
  <c r="F73" i="10"/>
  <c r="E73" i="10"/>
  <c r="D73" i="10"/>
  <c r="C73" i="10"/>
  <c r="F72" i="10"/>
  <c r="E72" i="10"/>
  <c r="D72" i="10"/>
  <c r="C72" i="10"/>
  <c r="F71" i="10"/>
  <c r="E71" i="10"/>
  <c r="D71" i="10"/>
  <c r="C71" i="10"/>
  <c r="F70" i="10"/>
  <c r="E70" i="10"/>
  <c r="D70" i="10"/>
  <c r="C70" i="10"/>
  <c r="F59" i="10"/>
  <c r="E59" i="10"/>
  <c r="D59" i="10"/>
  <c r="C59" i="10"/>
  <c r="F57" i="10"/>
  <c r="E57" i="10"/>
  <c r="D57" i="10"/>
  <c r="C57" i="10"/>
  <c r="B55" i="10"/>
  <c r="B54" i="10"/>
  <c r="B53" i="10"/>
  <c r="B52" i="10"/>
  <c r="B51" i="10"/>
  <c r="F48" i="10"/>
  <c r="E48" i="10"/>
  <c r="D48" i="10"/>
  <c r="C48" i="10"/>
  <c r="B47" i="10"/>
  <c r="B43" i="10"/>
  <c r="B42" i="10"/>
  <c r="B41" i="10"/>
  <c r="F40" i="10"/>
  <c r="E40" i="10"/>
  <c r="D40" i="10"/>
  <c r="C40" i="10"/>
  <c r="B40" i="10"/>
  <c r="B39" i="10"/>
  <c r="R38" i="10"/>
  <c r="Q38" i="10"/>
  <c r="P38" i="10"/>
  <c r="O38" i="10"/>
  <c r="L38" i="10"/>
  <c r="K38" i="10"/>
  <c r="J38" i="10"/>
  <c r="I38" i="10"/>
  <c r="F38" i="10"/>
  <c r="E38" i="10"/>
  <c r="D38" i="10"/>
  <c r="C38" i="10"/>
  <c r="R37" i="10"/>
  <c r="Q37" i="10"/>
  <c r="P37" i="10"/>
  <c r="O37" i="10"/>
  <c r="L37" i="10"/>
  <c r="K37" i="10"/>
  <c r="J37" i="10"/>
  <c r="I37" i="10"/>
  <c r="F37" i="10"/>
  <c r="E37" i="10"/>
  <c r="D37" i="10"/>
  <c r="C37" i="10"/>
  <c r="R29" i="10"/>
  <c r="Q29" i="10"/>
  <c r="P29" i="10"/>
  <c r="O29" i="10"/>
  <c r="L29" i="10"/>
  <c r="K29" i="10"/>
  <c r="J29" i="10"/>
  <c r="I29" i="10"/>
  <c r="F29" i="10"/>
  <c r="E29" i="10"/>
  <c r="D29" i="10"/>
  <c r="C29" i="10"/>
  <c r="R28" i="10"/>
  <c r="Q28" i="10"/>
  <c r="P28" i="10"/>
  <c r="O28" i="10"/>
  <c r="L28" i="10"/>
  <c r="K28" i="10"/>
  <c r="J28" i="10"/>
  <c r="I28" i="10"/>
  <c r="F28" i="10"/>
  <c r="E28" i="10"/>
  <c r="D28" i="10"/>
  <c r="C28" i="10"/>
  <c r="R26" i="10"/>
  <c r="Q26" i="10"/>
  <c r="P26" i="10"/>
  <c r="O26" i="10"/>
  <c r="L26" i="10"/>
  <c r="K26" i="10"/>
  <c r="J26" i="10"/>
  <c r="I26" i="10"/>
  <c r="F26" i="10"/>
  <c r="E26" i="10"/>
  <c r="D26" i="10"/>
  <c r="C26" i="10"/>
  <c r="R24" i="10"/>
  <c r="Q24" i="10"/>
  <c r="P24" i="10"/>
  <c r="O24" i="10"/>
  <c r="L24" i="10"/>
  <c r="K24" i="10"/>
  <c r="J24" i="10"/>
  <c r="I24" i="10"/>
  <c r="F24" i="10"/>
  <c r="E24" i="10"/>
  <c r="D24" i="10"/>
  <c r="C24" i="10"/>
  <c r="R22" i="10"/>
  <c r="Q22" i="10"/>
  <c r="P22" i="10"/>
  <c r="O22" i="10"/>
  <c r="L22" i="10"/>
  <c r="K22" i="10"/>
  <c r="J22" i="10"/>
  <c r="I22" i="10"/>
  <c r="F22" i="10"/>
  <c r="E22" i="10"/>
  <c r="D22" i="10"/>
  <c r="C22" i="10"/>
  <c r="R21" i="10"/>
  <c r="Q21" i="10"/>
  <c r="P21" i="10"/>
  <c r="O21" i="10"/>
  <c r="L21" i="10"/>
  <c r="K21" i="10"/>
  <c r="J21" i="10"/>
  <c r="I21" i="10"/>
  <c r="F21" i="10"/>
  <c r="E21" i="10"/>
  <c r="D21" i="10"/>
  <c r="C21" i="10"/>
  <c r="R19" i="10"/>
  <c r="Q19" i="10"/>
  <c r="P19" i="10"/>
  <c r="O19" i="10"/>
  <c r="L19" i="10"/>
  <c r="K19" i="10"/>
  <c r="J19" i="10"/>
  <c r="I19" i="10"/>
  <c r="F19" i="10"/>
  <c r="E19" i="10"/>
  <c r="D19" i="10"/>
  <c r="C19" i="10"/>
  <c r="R18" i="10"/>
  <c r="Q18" i="10"/>
  <c r="P18" i="10"/>
  <c r="O18" i="10"/>
  <c r="L18" i="10"/>
  <c r="K18" i="10"/>
  <c r="J18" i="10"/>
  <c r="I18" i="10"/>
  <c r="F18" i="10"/>
  <c r="E18" i="10"/>
  <c r="D18" i="10"/>
  <c r="C18" i="10"/>
  <c r="R16" i="10"/>
  <c r="Q16" i="10"/>
  <c r="P16" i="10"/>
  <c r="O16" i="10"/>
  <c r="L16" i="10"/>
  <c r="K16" i="10"/>
  <c r="J16" i="10"/>
  <c r="I16" i="10"/>
  <c r="F16" i="10"/>
  <c r="E16" i="10"/>
  <c r="D16" i="10"/>
  <c r="C16" i="10"/>
  <c r="R14" i="10"/>
  <c r="Q14" i="10"/>
  <c r="P14" i="10"/>
  <c r="O14" i="10"/>
  <c r="L14" i="10"/>
  <c r="K14" i="10"/>
  <c r="J14" i="10"/>
  <c r="I14" i="10"/>
  <c r="F14" i="10"/>
  <c r="E14" i="10"/>
  <c r="D14" i="10"/>
  <c r="C14" i="10"/>
  <c r="E19" i="8"/>
  <c r="E16" i="8"/>
  <c r="E15" i="8"/>
  <c r="E14" i="8"/>
  <c r="E13" i="8"/>
  <c r="E12" i="8"/>
  <c r="E11" i="8"/>
  <c r="E8" i="8"/>
  <c r="E7" i="8"/>
  <c r="E6" i="8"/>
  <c r="E5" i="8"/>
  <c r="E4" i="8"/>
  <c r="E3" i="8"/>
  <c r="C66" i="2"/>
  <c r="B66" i="2"/>
  <c r="B65" i="2"/>
  <c r="B64" i="2"/>
  <c r="B63" i="2"/>
  <c r="B62" i="2"/>
  <c r="B61" i="2"/>
  <c r="B60" i="2"/>
  <c r="B59" i="2"/>
  <c r="B58" i="2"/>
  <c r="F53" i="2"/>
  <c r="F48" i="2"/>
  <c r="F45" i="2"/>
  <c r="F40" i="2"/>
  <c r="F34" i="2"/>
  <c r="E34" i="2"/>
  <c r="E33" i="2"/>
  <c r="E31" i="2"/>
  <c r="F28" i="2"/>
  <c r="E28" i="2"/>
  <c r="E27" i="2"/>
  <c r="E26" i="2"/>
  <c r="E25" i="2"/>
  <c r="E24" i="2"/>
  <c r="F20" i="2"/>
  <c r="K19" i="2"/>
  <c r="K18" i="2"/>
  <c r="K17" i="2"/>
  <c r="K16" i="2"/>
  <c r="K15" i="2"/>
  <c r="J13" i="2"/>
  <c r="F9" i="2"/>
  <c r="J7" i="2"/>
  <c r="B14" i="5"/>
  <c r="B11" i="7"/>
  <c r="F34" i="4"/>
  <c r="B24" i="4"/>
  <c r="B23" i="4"/>
  <c r="B22" i="4"/>
  <c r="B18" i="4"/>
  <c r="C66" i="3"/>
  <c r="B66" i="3"/>
  <c r="B65" i="3"/>
  <c r="B64" i="3"/>
  <c r="B63" i="3"/>
  <c r="B62" i="3"/>
  <c r="B61" i="3"/>
  <c r="B60" i="3"/>
  <c r="B59" i="3"/>
  <c r="B58" i="3"/>
  <c r="G53" i="3"/>
  <c r="G48" i="3"/>
  <c r="G45" i="3"/>
  <c r="G40" i="3"/>
  <c r="G34" i="3"/>
  <c r="E34" i="3"/>
  <c r="E33" i="3"/>
  <c r="E31" i="3"/>
  <c r="G28" i="3"/>
  <c r="E28" i="3"/>
  <c r="E27" i="3"/>
  <c r="E26" i="3"/>
  <c r="E25" i="3"/>
  <c r="E24" i="3"/>
  <c r="G20" i="3"/>
  <c r="L19" i="3"/>
  <c r="L18" i="3"/>
  <c r="L17" i="3"/>
  <c r="L16" i="3"/>
  <c r="L15" i="3"/>
  <c r="G15" i="3"/>
  <c r="G14" i="3"/>
  <c r="K13" i="3"/>
  <c r="G9" i="3"/>
  <c r="K7" i="3"/>
  <c r="C71" i="6"/>
  <c r="B71" i="6"/>
  <c r="B70" i="6"/>
  <c r="B69" i="6"/>
  <c r="B68" i="6"/>
  <c r="B67" i="6"/>
  <c r="B66" i="6"/>
  <c r="B65" i="6"/>
  <c r="B64" i="6"/>
  <c r="B63" i="6"/>
  <c r="E58" i="6"/>
  <c r="E53" i="6"/>
  <c r="E50" i="6"/>
  <c r="E45" i="6"/>
  <c r="E38" i="6"/>
  <c r="E37" i="6"/>
  <c r="E36" i="6"/>
  <c r="E34" i="6"/>
  <c r="E32" i="6"/>
  <c r="E31" i="6"/>
  <c r="E30" i="6"/>
  <c r="E29" i="6"/>
  <c r="E28" i="6"/>
  <c r="E27" i="6"/>
  <c r="E25" i="6"/>
  <c r="L22" i="6"/>
  <c r="L21" i="6"/>
  <c r="L20" i="6"/>
  <c r="E19" i="6"/>
  <c r="L17" i="6"/>
  <c r="G17" i="6"/>
  <c r="L16" i="6"/>
  <c r="G16" i="6"/>
  <c r="G15" i="6"/>
  <c r="K14" i="6"/>
  <c r="E12" i="6"/>
  <c r="K8" i="6"/>
  <c r="B24" i="12"/>
  <c r="B23" i="12"/>
  <c r="B22" i="12"/>
  <c r="B38" i="9"/>
  <c r="B35" i="9"/>
  <c r="B33" i="9"/>
  <c r="B32" i="9"/>
  <c r="B37" i="11"/>
  <c r="B36" i="11"/>
  <c r="B25" i="11"/>
  <c r="B19" i="11"/>
  <c r="B17" i="11"/>
  <c r="B12" i="11"/>
</calcChain>
</file>

<file path=xl/comments1.xml><?xml version="1.0" encoding="utf-8"?>
<comments xmlns="http://schemas.openxmlformats.org/spreadsheetml/2006/main">
  <authors>
    <author>Atkinsonm</author>
  </authors>
  <commentList>
    <comment ref="E3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2.xml><?xml version="1.0" encoding="utf-8"?>
<comments xmlns="http://schemas.openxmlformats.org/spreadsheetml/2006/main">
  <authors>
    <author>Atkinsonm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3.xml><?xml version="1.0" encoding="utf-8"?>
<comments xmlns="http://schemas.openxmlformats.org/spreadsheetml/2006/main">
  <authors>
    <author>Atkinsonm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4.xml><?xml version="1.0" encoding="utf-8"?>
<comments xmlns="http://schemas.openxmlformats.org/spreadsheetml/2006/main">
  <authors>
    <author>Freeth Thomas (2017)</author>
    <author>EJ:</author>
    <author>Louise Yates</author>
  </authors>
  <commentList>
    <comment ref="C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D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sharedStrings.xml><?xml version="1.0" encoding="utf-8"?>
<sst xmlns="http://schemas.openxmlformats.org/spreadsheetml/2006/main" count="772" uniqueCount="259">
  <si>
    <t>Substance</t>
  </si>
  <si>
    <t>Film Programme weekend</t>
  </si>
  <si>
    <t>MIF</t>
  </si>
  <si>
    <t>Producer Costs (Accom and Travel)</t>
  </si>
  <si>
    <t>Boiler Room/Humber Bridge Anchorage</t>
  </si>
  <si>
    <t>Marketing</t>
  </si>
  <si>
    <t>Spent to Date</t>
  </si>
  <si>
    <t>Total</t>
  </si>
  <si>
    <t>Income</t>
  </si>
  <si>
    <t>Hull 2017</t>
  </si>
  <si>
    <t>BFI</t>
  </si>
  <si>
    <t>Total Funds Available</t>
  </si>
  <si>
    <t>Funds remaining</t>
  </si>
  <si>
    <t>Fees</t>
  </si>
  <si>
    <t>Luke Bainbridge</t>
  </si>
  <si>
    <t>John Drape</t>
  </si>
  <si>
    <t>David</t>
  </si>
  <si>
    <t>Substance received</t>
  </si>
  <si>
    <t>Substance due</t>
  </si>
  <si>
    <t>Total Committed/Spent</t>
  </si>
  <si>
    <t>Remaining</t>
  </si>
  <si>
    <t>Thursday 7 December</t>
  </si>
  <si>
    <t>Budget</t>
  </si>
  <si>
    <t>Future Everything</t>
  </si>
  <si>
    <t>Production</t>
  </si>
  <si>
    <t>Wild Beasts</t>
  </si>
  <si>
    <t>Orchestra</t>
  </si>
  <si>
    <t>Security</t>
  </si>
  <si>
    <t>Forecast</t>
  </si>
  <si>
    <t>Actual to date</t>
  </si>
  <si>
    <t xml:space="preserve">Pre Event Activations </t>
  </si>
  <si>
    <t>Hull</t>
  </si>
  <si>
    <t>Income Expectations</t>
  </si>
  <si>
    <t>Manchester</t>
  </si>
  <si>
    <t>Satellite Events</t>
  </si>
  <si>
    <t>Rochdale</t>
  </si>
  <si>
    <t>Price</t>
  </si>
  <si>
    <t>Audience</t>
  </si>
  <si>
    <t>No. of events</t>
  </si>
  <si>
    <t>Leeds</t>
  </si>
  <si>
    <t>Wigan</t>
  </si>
  <si>
    <t>Total Income</t>
  </si>
  <si>
    <t>Venue Hire</t>
  </si>
  <si>
    <t>date tbc- small activations in smaller towns</t>
  </si>
  <si>
    <t>December Festival</t>
  </si>
  <si>
    <t>Substance Publication</t>
  </si>
  <si>
    <t>Editorial</t>
  </si>
  <si>
    <t>Print &amp; Design</t>
  </si>
  <si>
    <t>Total Income Target</t>
  </si>
  <si>
    <t>Distribution</t>
  </si>
  <si>
    <t>VAT</t>
  </si>
  <si>
    <t>CC Fees @ 3%</t>
  </si>
  <si>
    <t>Marketing &amp; Comms</t>
  </si>
  <si>
    <t>Image creation (Substance logo)</t>
  </si>
  <si>
    <t>website</t>
  </si>
  <si>
    <t>Total less VAT</t>
  </si>
  <si>
    <t xml:space="preserve"> </t>
  </si>
  <si>
    <t>physical print - design cost and distribution across the north</t>
  </si>
  <si>
    <t>December Weekend</t>
  </si>
  <si>
    <t>Talent fees</t>
  </si>
  <si>
    <t>Top tier</t>
  </si>
  <si>
    <t xml:space="preserve">Supporting talent </t>
  </si>
  <si>
    <t xml:space="preserve">Riders </t>
  </si>
  <si>
    <t>Travel and accommodation</t>
  </si>
  <si>
    <t>Travel and accomodation - non CoC</t>
  </si>
  <si>
    <t xml:space="preserve">Production </t>
  </si>
  <si>
    <t xml:space="preserve">AV </t>
  </si>
  <si>
    <t xml:space="preserve">Lighting </t>
  </si>
  <si>
    <t xml:space="preserve">Sound </t>
  </si>
  <si>
    <t>Staff</t>
  </si>
  <si>
    <t xml:space="preserve">Substance fees </t>
  </si>
  <si>
    <t>Event Production - Front of House</t>
  </si>
  <si>
    <t>Event Production - Volunteers</t>
  </si>
  <si>
    <t>Access</t>
  </si>
  <si>
    <t>Travel (Meetings)</t>
  </si>
  <si>
    <t>Travel - non CoC</t>
  </si>
  <si>
    <t>Expenditure without ticket income</t>
  </si>
  <si>
    <t>Total Estimated Box Office</t>
  </si>
  <si>
    <t>Total Expenditure with ticket income from Satellite events and December weekend festival</t>
  </si>
  <si>
    <t>Funds CoC Manage</t>
  </si>
  <si>
    <t>Image Creation</t>
  </si>
  <si>
    <t>Travel for meetings</t>
  </si>
  <si>
    <t>Artist Acommodation</t>
  </si>
  <si>
    <t>December Weekend Production</t>
  </si>
  <si>
    <t>Total Retained Funds</t>
  </si>
  <si>
    <t>Total Money going to Substance LTD</t>
  </si>
  <si>
    <t>Publications / writer fees</t>
  </si>
  <si>
    <t>articles - Aug/Sep-16</t>
  </si>
  <si>
    <t xml:space="preserve">Substance booklet </t>
  </si>
  <si>
    <t>(print &amp; distribution. Arts venues but also supermarkets etc)</t>
  </si>
  <si>
    <t>John Draper</t>
  </si>
  <si>
    <t>Hull: November 2017</t>
  </si>
  <si>
    <t>CODES</t>
  </si>
  <si>
    <t>COC</t>
  </si>
  <si>
    <t>SUBSTANCE</t>
  </si>
  <si>
    <t>The Magnetic North Fee</t>
  </si>
  <si>
    <t>Luke paid</t>
  </si>
  <si>
    <t>PAID</t>
  </si>
  <si>
    <t>Will Alsop</t>
  </si>
  <si>
    <t>Production Management</t>
  </si>
  <si>
    <t>Staging and Scenic: ZK106.K245.C350</t>
  </si>
  <si>
    <t>Hosp Rider</t>
  </si>
  <si>
    <t>Artist Dinner</t>
  </si>
  <si>
    <t>Catering &amp; Hosp: ZK112.K120.C350</t>
  </si>
  <si>
    <t>VIP Drinks</t>
  </si>
  <si>
    <t>Hotel and Accomm: ZK102.K116.C350</t>
  </si>
  <si>
    <t>Contra</t>
  </si>
  <si>
    <t>Dressing Room</t>
  </si>
  <si>
    <t>Not in yet.</t>
  </si>
  <si>
    <t>DJ</t>
  </si>
  <si>
    <t>Luke Paid</t>
  </si>
  <si>
    <t>Will Alsop Hotel Room</t>
  </si>
  <si>
    <t>Accommodation: ZK101.K116.C350</t>
  </si>
  <si>
    <t>Needs to go to ZK102</t>
  </si>
  <si>
    <t>Will Alsop Travel</t>
  </si>
  <si>
    <t>Travel: Artist Travel: ZK102.K115.C350</t>
  </si>
  <si>
    <t>Marketing: EDM</t>
  </si>
  <si>
    <t>Branding and Desiign: ZK102.K270.C350</t>
  </si>
  <si>
    <t>Needs to go to Printing Costs.</t>
  </si>
  <si>
    <t>Marketing: social media</t>
  </si>
  <si>
    <t>Printing Costs: ZK109.K138.C350</t>
  </si>
  <si>
    <t>being processed.</t>
  </si>
  <si>
    <t>Wrist bands</t>
  </si>
  <si>
    <t>BUDGET</t>
  </si>
  <si>
    <t>Substance Pay</t>
  </si>
  <si>
    <t>Including Contra</t>
  </si>
  <si>
    <t>Hull 2017 Pay</t>
  </si>
  <si>
    <t>Minus Contra</t>
  </si>
  <si>
    <t>Curator and interviewer</t>
  </si>
  <si>
    <t>10 days of £150 per day for someone to obtain film rights, copy, image and details.</t>
  </si>
  <si>
    <t>Cost of screening 8 films</t>
  </si>
  <si>
    <t>Venue hire for screening films in Vue</t>
  </si>
  <si>
    <t>BUG: Adam Buxton</t>
  </si>
  <si>
    <t>Amount available</t>
  </si>
  <si>
    <t>Substance Magazine</t>
  </si>
  <si>
    <t>Includes artist commisions.</t>
  </si>
  <si>
    <t>Retrieve quotes. Try and find a partner for this. Who is in charge of season brochure distribution.</t>
  </si>
  <si>
    <t>See if Guardian will partner and assist with distribution.</t>
  </si>
  <si>
    <t>Liverpool</t>
  </si>
  <si>
    <t>Newcastle/Gateshead</t>
  </si>
  <si>
    <t>Revised Fees</t>
  </si>
  <si>
    <t>Wild Beasts: £25/£35. Fee 25k.</t>
  </si>
  <si>
    <t>Wild Beasts: £25/£35. Fee 20k.</t>
  </si>
  <si>
    <t>Wild Beasts: £25/£35. Fee 15k.</t>
  </si>
  <si>
    <t>Show</t>
  </si>
  <si>
    <t>Company</t>
  </si>
  <si>
    <t>H2017</t>
  </si>
  <si>
    <t>Venue</t>
  </si>
  <si>
    <t>City Hall</t>
  </si>
  <si>
    <t>Date</t>
  </si>
  <si>
    <t>December</t>
  </si>
  <si>
    <t>Time</t>
  </si>
  <si>
    <t>8pm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</si>
  <si>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</si>
  <si>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</si>
  <si>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</si>
  <si>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</si>
  <si>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</si>
  <si>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</si>
  <si>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Full Price Tickets</t>
  </si>
  <si>
    <t>Full Price sales</t>
  </si>
  <si>
    <t>Full Price</t>
  </si>
  <si>
    <t xml:space="preserve">  % Attendance Conc. Tickets</t>
  </si>
  <si>
    <t>Conc ticket sales</t>
  </si>
  <si>
    <t>Conc ticket price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</si>
  <si>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</si>
  <si>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</si>
  <si>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</si>
  <si>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</si>
  <si>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</si>
  <si>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VAT element</t>
  </si>
  <si>
    <t>Net Box Office Contribution</t>
  </si>
  <si>
    <t>Less: Visiting Company and Other Costs</t>
  </si>
  <si>
    <t>Fee</t>
  </si>
  <si>
    <t>Rider</t>
  </si>
  <si>
    <t>Production Approx</t>
  </si>
  <si>
    <t>Total Costs</t>
  </si>
  <si>
    <t>Bottom Line</t>
  </si>
  <si>
    <t>Technical Manager / Apprentice</t>
  </si>
  <si>
    <t>FOH Costs</t>
  </si>
  <si>
    <t>Marketing Manager / Apprentice</t>
  </si>
  <si>
    <t>Total Cost</t>
  </si>
  <si>
    <t xml:space="preserve">TOTAL PROFIT OR LOSS 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</si>
  <si>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</si>
  <si>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</si>
  <si>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</si>
  <si>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</si>
  <si>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</si>
  <si>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</si>
  <si>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</si>
  <si>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</si>
  <si>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</si>
  <si>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</si>
  <si>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</si>
  <si>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</si>
  <si>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</si>
  <si>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</si>
  <si>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</si>
  <si>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</si>
  <si>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</si>
  <si>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</si>
  <si>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</si>
  <si>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</si>
  <si>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</t>
  </si>
  <si>
    <t>Crew costs</t>
  </si>
  <si>
    <t>Technical input (in half days)</t>
  </si>
  <si>
    <t>Tech Manager costs</t>
  </si>
  <si>
    <t>Technical Hire Costs</t>
  </si>
  <si>
    <t>Light</t>
  </si>
  <si>
    <t>Sound</t>
  </si>
  <si>
    <t>AV</t>
  </si>
  <si>
    <t>Set</t>
  </si>
  <si>
    <t>Miscellaneous</t>
  </si>
  <si>
    <t>Festival Wide</t>
  </si>
  <si>
    <t>Wild Beasts: £29/£39. Fee 25k.</t>
  </si>
  <si>
    <t>Wild Beasts: £29/£39. Fee 20k</t>
  </si>
  <si>
    <t>Live from Humber Bridge</t>
  </si>
  <si>
    <t>Hull Venue</t>
  </si>
  <si>
    <t>Video</t>
  </si>
  <si>
    <t>20k projection, media server and associated switching equipment. Backup projection and media servers. Rigging and labour</t>
  </si>
  <si>
    <t>Production Services</t>
  </si>
  <si>
    <t>CAD drawings. H&amp;S for video. Site visit[s]. Liaison with artists/performers for tech requirements. Additional dedicated NRC rigger for preproduction and show. PM onsite for 4 days. Plant hire</t>
  </si>
  <si>
    <t>Screens</t>
  </si>
  <si>
    <t>seamless screens, edge butted in octagon, including screen material, installation and labour.</t>
  </si>
  <si>
    <t>Onsite expenses</t>
  </si>
  <si>
    <t>crew transport [tbc]. accommodation [approx 30 nights @ £100/night]. food and drink [approx 42 PDs @ £20/day].</t>
  </si>
  <si>
    <t>Bridge</t>
  </si>
  <si>
    <t>Filming</t>
  </si>
  <si>
    <t>Artist</t>
  </si>
  <si>
    <t>Production Costs</t>
  </si>
  <si>
    <t>Event Manager</t>
  </si>
  <si>
    <t>Front of House</t>
  </si>
  <si>
    <t>Infrastructure</t>
  </si>
  <si>
    <t>Venues</t>
  </si>
  <si>
    <t>Fruit</t>
  </si>
  <si>
    <t>Hull Minster</t>
  </si>
  <si>
    <t>Warehouse</t>
  </si>
  <si>
    <t>Vue</t>
  </si>
  <si>
    <t>in film budget</t>
  </si>
  <si>
    <t>Content</t>
  </si>
  <si>
    <t>For Luke</t>
  </si>
  <si>
    <t>Aidan</t>
  </si>
  <si>
    <t>Estimate</t>
  </si>
  <si>
    <t>BSL</t>
  </si>
  <si>
    <t>Design flyers for delegates</t>
  </si>
  <si>
    <t>Capture on the day (Photographer)</t>
  </si>
  <si>
    <t>Flyer design/print</t>
  </si>
  <si>
    <t>Intercity advertising (Poster sites)</t>
  </si>
  <si>
    <t>EDM (with data from others)</t>
  </si>
  <si>
    <t>Other</t>
  </si>
  <si>
    <t>Catering</t>
  </si>
  <si>
    <t>Breakfast</t>
  </si>
  <si>
    <t>£3 x 200</t>
  </si>
  <si>
    <t>Lunch</t>
  </si>
  <si>
    <t>£10 x 200</t>
  </si>
  <si>
    <t>Total Budget</t>
  </si>
  <si>
    <t>Dependant on what Luke has spent already</t>
  </si>
  <si>
    <t>Thursday 7 December Future Forum</t>
  </si>
  <si>
    <t>Toilets/Adaptations to the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</si>
</sst>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&quot;£&quot;#,##0"/>
    <numFmt numFmtId="167" formatCode="_-[$£-809]* #,##0_-;\-[$£-809]* #,##0_-;_-[$£-809]* &quot;-&quot;??_-;_-@_-"/>
    <numFmt numFmtId="168" formatCode="#,##0;\(#,##0\)"/>
    <numFmt numFmtId="169" formatCode="&quot;£ &quot;#,##0.00;\(&quot;£ &quot;#,##0.00\)"/>
    <numFmt numFmtId="170" formatCode="&quot;£ &quot;#,##0;\(&quot;£ &quot;#,##0\)"/>
    <numFmt numFmtId="171" formatCode="_-* #,##0.0_-;\-* #,##0.0_-;_-* &quot;-&quot;??_-;_-@_-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Geneva"/>
    </font>
    <font>
      <sz val="10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8" fontId="11" fillId="0" borderId="0"/>
    <xf numFmtId="0" fontId="15" fillId="0" borderId="0" applyNumberFormat="0"/>
  </cellStyleXfs>
  <cellXfs count="154">
    <xf numFmtId="0" fontId="0" fillId="0" borderId="0" xfId="0"/>
    <xf numFmtId="17" fontId="0" fillId="0" borderId="0" xfId="0" applyNumberFormat="1"/>
    <xf numFmtId="43" fontId="0" fillId="0" borderId="0" xfId="1" applyFont="1"/>
    <xf numFmtId="17" fontId="0" fillId="0" borderId="0" xfId="0" applyNumberFormat="1" applyAlignment="1">
      <alignment horizontal="right"/>
    </xf>
    <xf numFmtId="17" fontId="0" fillId="0" borderId="0" xfId="0" applyNumberFormat="1" applyAlignment="1">
      <alignment horizontal="left"/>
    </xf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 applyFill="1"/>
    <xf numFmtId="165" fontId="0" fillId="0" borderId="0" xfId="0" applyNumberFormat="1" applyFill="1"/>
    <xf numFmtId="165" fontId="0" fillId="0" borderId="0" xfId="0" applyNumberFormat="1"/>
    <xf numFmtId="0" fontId="4" fillId="0" borderId="0" xfId="0" applyFont="1" applyAlignment="1"/>
    <xf numFmtId="0" fontId="0" fillId="0" borderId="0" xfId="0" applyBorder="1"/>
    <xf numFmtId="165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0" fontId="7" fillId="0" borderId="0" xfId="0" applyFont="1"/>
    <xf numFmtId="165" fontId="0" fillId="0" borderId="0" xfId="0" applyNumberFormat="1" applyFont="1" applyFill="1"/>
    <xf numFmtId="0" fontId="4" fillId="0" borderId="0" xfId="0" applyFont="1" applyFill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44" fontId="9" fillId="0" borderId="0" xfId="0" applyNumberFormat="1" applyFont="1" applyBorder="1"/>
    <xf numFmtId="44" fontId="8" fillId="0" borderId="0" xfId="0" applyNumberFormat="1" applyFont="1" applyBorder="1"/>
    <xf numFmtId="44" fontId="9" fillId="0" borderId="7" xfId="0" applyNumberFormat="1" applyFont="1" applyBorder="1"/>
    <xf numFmtId="0" fontId="9" fillId="0" borderId="1" xfId="0" applyFont="1" applyBorder="1"/>
    <xf numFmtId="0" fontId="9" fillId="0" borderId="4" xfId="0" applyFont="1" applyBorder="1"/>
    <xf numFmtId="0" fontId="8" fillId="0" borderId="4" xfId="0" applyFont="1" applyBorder="1"/>
    <xf numFmtId="0" fontId="8" fillId="0" borderId="6" xfId="0" applyFont="1" applyBorder="1"/>
    <xf numFmtId="44" fontId="8" fillId="0" borderId="7" xfId="0" applyNumberFormat="1" applyFont="1" applyBorder="1"/>
    <xf numFmtId="0" fontId="9" fillId="0" borderId="6" xfId="0" applyFont="1" applyBorder="1"/>
    <xf numFmtId="0" fontId="9" fillId="0" borderId="7" xfId="0" applyFont="1" applyBorder="1"/>
    <xf numFmtId="165" fontId="0" fillId="2" borderId="0" xfId="0" applyNumberFormat="1" applyFill="1"/>
    <xf numFmtId="165" fontId="0" fillId="2" borderId="0" xfId="0" applyNumberFormat="1" applyFont="1" applyFill="1"/>
    <xf numFmtId="165" fontId="4" fillId="2" borderId="0" xfId="1" applyNumberFormat="1" applyFont="1" applyFill="1"/>
    <xf numFmtId="164" fontId="4" fillId="3" borderId="0" xfId="1" applyNumberFormat="1" applyFont="1" applyFill="1"/>
    <xf numFmtId="165" fontId="4" fillId="3" borderId="0" xfId="0" applyNumberFormat="1" applyFont="1" applyFill="1"/>
    <xf numFmtId="165" fontId="0" fillId="3" borderId="0" xfId="0" applyNumberFormat="1" applyFont="1" applyFill="1"/>
    <xf numFmtId="0" fontId="4" fillId="0" borderId="9" xfId="0" applyFont="1" applyBorder="1"/>
    <xf numFmtId="0" fontId="0" fillId="0" borderId="9" xfId="0" applyBorder="1"/>
    <xf numFmtId="44" fontId="0" fillId="0" borderId="9" xfId="14" applyFont="1" applyBorder="1"/>
    <xf numFmtId="44" fontId="4" fillId="0" borderId="9" xfId="14" applyFont="1" applyBorder="1"/>
    <xf numFmtId="0" fontId="0" fillId="0" borderId="9" xfId="0" applyBorder="1" applyAlignment="1">
      <alignment wrapText="1"/>
    </xf>
    <xf numFmtId="0" fontId="0" fillId="2" borderId="9" xfId="0" applyFill="1" applyBorder="1"/>
    <xf numFmtId="44" fontId="0" fillId="4" borderId="9" xfId="14" applyFont="1" applyFill="1" applyBorder="1"/>
    <xf numFmtId="0" fontId="0" fillId="4" borderId="9" xfId="0" applyFill="1" applyBorder="1"/>
    <xf numFmtId="44" fontId="0" fillId="0" borderId="0" xfId="0" applyNumberFormat="1"/>
    <xf numFmtId="0" fontId="0" fillId="0" borderId="9" xfId="0" applyFill="1" applyBorder="1"/>
    <xf numFmtId="44" fontId="0" fillId="5" borderId="9" xfId="14" applyFont="1" applyFill="1" applyBorder="1"/>
    <xf numFmtId="6" fontId="0" fillId="0" borderId="0" xfId="0" applyNumberFormat="1"/>
    <xf numFmtId="43" fontId="4" fillId="0" borderId="0" xfId="1" applyFont="1"/>
    <xf numFmtId="167" fontId="0" fillId="0" borderId="0" xfId="0" applyNumberFormat="1"/>
    <xf numFmtId="0" fontId="10" fillId="0" borderId="0" xfId="16" applyFont="1"/>
    <xf numFmtId="0" fontId="12" fillId="0" borderId="14" xfId="16" applyFont="1" applyBorder="1" applyAlignment="1">
      <alignment horizontal="center"/>
    </xf>
    <xf numFmtId="0" fontId="12" fillId="0" borderId="10" xfId="16" applyFont="1" applyBorder="1" applyAlignment="1">
      <alignment horizontal="center"/>
    </xf>
    <xf numFmtId="168" fontId="12" fillId="0" borderId="16" xfId="17" applyFont="1" applyBorder="1" applyAlignment="1">
      <alignment horizontal="center"/>
    </xf>
    <xf numFmtId="168" fontId="12" fillId="0" borderId="17" xfId="17" applyFont="1" applyBorder="1" applyAlignment="1">
      <alignment horizontal="center"/>
    </xf>
    <xf numFmtId="0" fontId="12" fillId="0" borderId="18" xfId="16" applyFont="1" applyBorder="1" applyAlignment="1">
      <alignment horizontal="right" vertical="top" wrapText="1"/>
    </xf>
    <xf numFmtId="0" fontId="12" fillId="0" borderId="17" xfId="16" applyFont="1" applyFill="1" applyBorder="1" applyAlignment="1">
      <alignment horizontal="center" vertical="top" wrapText="1"/>
    </xf>
    <xf numFmtId="0" fontId="10" fillId="6" borderId="17" xfId="16" applyFont="1" applyFill="1" applyBorder="1" applyAlignment="1">
      <alignment horizontal="center" wrapText="1"/>
    </xf>
    <xf numFmtId="14" fontId="10" fillId="6" borderId="17" xfId="16" applyNumberFormat="1" applyFont="1" applyFill="1" applyBorder="1" applyAlignment="1">
      <alignment horizontal="center" wrapText="1"/>
    </xf>
    <xf numFmtId="14" fontId="10" fillId="0" borderId="17" xfId="16" applyNumberFormat="1" applyFont="1" applyBorder="1" applyAlignment="1">
      <alignment horizontal="center" wrapText="1"/>
    </xf>
    <xf numFmtId="0" fontId="13" fillId="0" borderId="18" xfId="17" applyNumberFormat="1" applyFont="1" applyBorder="1" applyAlignment="1"/>
    <xf numFmtId="168" fontId="10" fillId="0" borderId="17" xfId="17" applyFont="1" applyBorder="1" applyAlignment="1"/>
    <xf numFmtId="0" fontId="14" fillId="7" borderId="18" xfId="17" applyNumberFormat="1" applyFont="1" applyFill="1" applyBorder="1" applyAlignment="1"/>
    <xf numFmtId="168" fontId="14" fillId="0" borderId="17" xfId="17" quotePrefix="1" applyFont="1" applyBorder="1" applyAlignment="1">
      <alignment horizontal="right"/>
    </xf>
    <xf numFmtId="0" fontId="10" fillId="7" borderId="18" xfId="17" applyNumberFormat="1" applyFont="1" applyFill="1" applyBorder="1" applyAlignment="1"/>
    <xf numFmtId="168" fontId="14" fillId="8" borderId="17" xfId="17" quotePrefix="1" applyFont="1" applyFill="1" applyBorder="1" applyAlignment="1">
      <alignment horizontal="right"/>
    </xf>
    <xf numFmtId="168" fontId="10" fillId="7" borderId="18" xfId="17" applyFont="1" applyFill="1" applyBorder="1" applyAlignment="1"/>
    <xf numFmtId="9" fontId="14" fillId="8" borderId="17" xfId="15" applyFont="1" applyFill="1" applyBorder="1"/>
    <xf numFmtId="168" fontId="14" fillId="7" borderId="17" xfId="17" applyFont="1" applyFill="1" applyBorder="1"/>
    <xf numFmtId="168" fontId="10" fillId="0" borderId="18" xfId="17" applyFont="1" applyFill="1" applyBorder="1" applyAlignment="1"/>
    <xf numFmtId="164" fontId="14" fillId="0" borderId="17" xfId="1" applyNumberFormat="1" applyFont="1" applyFill="1" applyBorder="1"/>
    <xf numFmtId="2" fontId="14" fillId="8" borderId="17" xfId="17" applyNumberFormat="1" applyFont="1" applyFill="1" applyBorder="1"/>
    <xf numFmtId="9" fontId="14" fillId="0" borderId="17" xfId="15" applyFont="1" applyFill="1" applyBorder="1"/>
    <xf numFmtId="1" fontId="14" fillId="0" borderId="17" xfId="17" applyNumberFormat="1" applyFont="1" applyFill="1" applyBorder="1"/>
    <xf numFmtId="168" fontId="10" fillId="7" borderId="18" xfId="17" applyFont="1" applyFill="1" applyBorder="1" applyAlignment="1">
      <alignment horizontal="left"/>
    </xf>
    <xf numFmtId="43" fontId="12" fillId="7" borderId="17" xfId="17" applyNumberFormat="1" applyFont="1" applyFill="1" applyBorder="1" applyAlignment="1">
      <alignment horizontal="right"/>
    </xf>
    <xf numFmtId="2" fontId="12" fillId="7" borderId="17" xfId="17" applyNumberFormat="1" applyFont="1" applyFill="1" applyBorder="1"/>
    <xf numFmtId="168" fontId="10" fillId="0" borderId="18" xfId="17" applyFont="1" applyFill="1" applyBorder="1"/>
    <xf numFmtId="168" fontId="10" fillId="8" borderId="17" xfId="17" applyFont="1" applyFill="1" applyBorder="1"/>
    <xf numFmtId="168" fontId="10" fillId="0" borderId="18" xfId="17" applyFont="1" applyBorder="1" applyAlignment="1"/>
    <xf numFmtId="168" fontId="10" fillId="0" borderId="17" xfId="17" applyFont="1" applyBorder="1"/>
    <xf numFmtId="0" fontId="10" fillId="0" borderId="18" xfId="17" applyNumberFormat="1" applyFont="1" applyBorder="1" applyAlignment="1">
      <alignment horizontal="left"/>
    </xf>
    <xf numFmtId="168" fontId="10" fillId="6" borderId="17" xfId="17" applyFont="1" applyFill="1" applyBorder="1"/>
    <xf numFmtId="168" fontId="12" fillId="5" borderId="9" xfId="17" applyFont="1" applyFill="1" applyBorder="1"/>
    <xf numFmtId="168" fontId="12" fillId="5" borderId="19" xfId="17" applyFont="1" applyFill="1" applyBorder="1"/>
    <xf numFmtId="168" fontId="14" fillId="0" borderId="18" xfId="17" applyFont="1" applyBorder="1"/>
    <xf numFmtId="168" fontId="12" fillId="5" borderId="18" xfId="17" applyFont="1" applyFill="1" applyBorder="1"/>
    <xf numFmtId="168" fontId="12" fillId="5" borderId="17" xfId="17" applyFont="1" applyFill="1" applyBorder="1"/>
    <xf numFmtId="168" fontId="10" fillId="0" borderId="20" xfId="17" applyFont="1" applyFill="1" applyBorder="1"/>
    <xf numFmtId="168" fontId="10" fillId="0" borderId="11" xfId="17" applyFont="1" applyBorder="1"/>
    <xf numFmtId="168" fontId="12" fillId="6" borderId="20" xfId="17" applyFont="1" applyFill="1" applyBorder="1"/>
    <xf numFmtId="168" fontId="12" fillId="6" borderId="11" xfId="17" applyFont="1" applyFill="1" applyBorder="1"/>
    <xf numFmtId="0" fontId="10" fillId="0" borderId="18" xfId="17" applyNumberFormat="1" applyFont="1" applyFill="1" applyBorder="1" applyAlignment="1"/>
    <xf numFmtId="0" fontId="10" fillId="0" borderId="17" xfId="17" applyNumberFormat="1" applyFont="1" applyFill="1" applyBorder="1" applyAlignment="1"/>
    <xf numFmtId="168" fontId="10" fillId="0" borderId="0" xfId="17" applyNumberFormat="1" applyFont="1" applyFill="1" applyBorder="1" applyAlignment="1"/>
    <xf numFmtId="168" fontId="10" fillId="0" borderId="0" xfId="17" applyFont="1" applyFill="1" applyBorder="1"/>
    <xf numFmtId="168" fontId="10" fillId="0" borderId="17" xfId="17" applyFont="1" applyFill="1" applyBorder="1"/>
    <xf numFmtId="168" fontId="10" fillId="0" borderId="18" xfId="17" applyFont="1" applyBorder="1"/>
    <xf numFmtId="0" fontId="12" fillId="0" borderId="20" xfId="16" applyFont="1" applyBorder="1"/>
    <xf numFmtId="168" fontId="12" fillId="0" borderId="19" xfId="17" applyFont="1" applyBorder="1"/>
    <xf numFmtId="0" fontId="12" fillId="0" borderId="18" xfId="16" applyFont="1" applyBorder="1"/>
    <xf numFmtId="168" fontId="12" fillId="0" borderId="18" xfId="17" applyFont="1" applyBorder="1"/>
    <xf numFmtId="0" fontId="14" fillId="9" borderId="18" xfId="18" applyNumberFormat="1" applyFont="1" applyFill="1" applyBorder="1"/>
    <xf numFmtId="0" fontId="10" fillId="9" borderId="18" xfId="18" applyFont="1" applyFill="1" applyBorder="1"/>
    <xf numFmtId="0" fontId="14" fillId="10" borderId="18" xfId="18" applyNumberFormat="1" applyFont="1" applyFill="1" applyBorder="1"/>
    <xf numFmtId="0" fontId="10" fillId="10" borderId="18" xfId="18" applyFont="1" applyFill="1" applyBorder="1"/>
    <xf numFmtId="168" fontId="10" fillId="7" borderId="18" xfId="17" applyFont="1" applyFill="1" applyBorder="1"/>
    <xf numFmtId="168" fontId="10" fillId="9" borderId="18" xfId="17" applyFont="1" applyFill="1" applyBorder="1"/>
    <xf numFmtId="10" fontId="10" fillId="9" borderId="18" xfId="17" applyNumberFormat="1" applyFont="1" applyFill="1" applyBorder="1"/>
    <xf numFmtId="168" fontId="13" fillId="0" borderId="18" xfId="17" applyFont="1" applyBorder="1"/>
    <xf numFmtId="0" fontId="14" fillId="0" borderId="18" xfId="18" applyNumberFormat="1" applyFont="1" applyBorder="1"/>
    <xf numFmtId="169" fontId="10" fillId="0" borderId="18" xfId="18" applyNumberFormat="1" applyFont="1" applyBorder="1"/>
    <xf numFmtId="0" fontId="10" fillId="9" borderId="18" xfId="18" applyNumberFormat="1" applyFont="1" applyFill="1" applyBorder="1"/>
    <xf numFmtId="169" fontId="10" fillId="9" borderId="18" xfId="18" applyNumberFormat="1" applyFont="1" applyFill="1" applyBorder="1"/>
    <xf numFmtId="164" fontId="10" fillId="9" borderId="18" xfId="1" applyNumberFormat="1" applyFont="1" applyFill="1" applyBorder="1"/>
    <xf numFmtId="0" fontId="10" fillId="0" borderId="18" xfId="18" applyNumberFormat="1" applyFont="1" applyFill="1" applyBorder="1"/>
    <xf numFmtId="169" fontId="10" fillId="0" borderId="18" xfId="18" applyNumberFormat="1" applyFont="1" applyFill="1" applyBorder="1"/>
    <xf numFmtId="0" fontId="12" fillId="0" borderId="18" xfId="18" applyFont="1" applyFill="1" applyBorder="1"/>
    <xf numFmtId="0" fontId="10" fillId="0" borderId="18" xfId="18" applyFont="1" applyFill="1" applyBorder="1"/>
    <xf numFmtId="0" fontId="14" fillId="11" borderId="18" xfId="17" applyNumberFormat="1" applyFont="1" applyFill="1" applyBorder="1" applyAlignment="1"/>
    <xf numFmtId="170" fontId="10" fillId="11" borderId="19" xfId="18" applyNumberFormat="1" applyFont="1" applyFill="1" applyBorder="1"/>
    <xf numFmtId="0" fontId="14" fillId="0" borderId="18" xfId="17" applyNumberFormat="1" applyFont="1" applyFill="1" applyBorder="1" applyAlignment="1"/>
    <xf numFmtId="170" fontId="10" fillId="0" borderId="18" xfId="18" applyNumberFormat="1" applyFont="1" applyFill="1" applyBorder="1"/>
    <xf numFmtId="171" fontId="10" fillId="0" borderId="18" xfId="1" applyNumberFormat="1" applyFont="1" applyFill="1" applyBorder="1"/>
    <xf numFmtId="170" fontId="10" fillId="11" borderId="21" xfId="18" applyNumberFormat="1" applyFont="1" applyFill="1" applyBorder="1"/>
    <xf numFmtId="0" fontId="10" fillId="0" borderId="22" xfId="16" applyFont="1" applyBorder="1"/>
    <xf numFmtId="0" fontId="14" fillId="0" borderId="0" xfId="16" applyFont="1"/>
    <xf numFmtId="0" fontId="10" fillId="0" borderId="18" xfId="16" applyFont="1" applyBorder="1"/>
    <xf numFmtId="6" fontId="10" fillId="0" borderId="18" xfId="16" applyNumberFormat="1" applyFont="1" applyBorder="1"/>
    <xf numFmtId="0" fontId="14" fillId="10" borderId="0" xfId="16" applyFont="1" applyFill="1"/>
    <xf numFmtId="168" fontId="10" fillId="10" borderId="19" xfId="17" applyFont="1" applyFill="1" applyBorder="1"/>
    <xf numFmtId="0" fontId="12" fillId="0" borderId="0" xfId="16" applyFont="1"/>
    <xf numFmtId="0" fontId="9" fillId="0" borderId="9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165" fontId="8" fillId="0" borderId="9" xfId="0" applyNumberFormat="1" applyFont="1" applyFill="1" applyBorder="1" applyAlignment="1">
      <alignment horizontal="left"/>
    </xf>
    <xf numFmtId="165" fontId="9" fillId="0" borderId="9" xfId="0" applyNumberFormat="1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165" fontId="8" fillId="0" borderId="12" xfId="0" applyNumberFormat="1" applyFont="1" applyFill="1" applyBorder="1" applyAlignment="1">
      <alignment horizontal="left"/>
    </xf>
    <xf numFmtId="165" fontId="0" fillId="0" borderId="0" xfId="14" applyNumberFormat="1" applyFont="1"/>
    <xf numFmtId="0" fontId="8" fillId="0" borderId="0" xfId="0" applyFont="1" applyFill="1" applyBorder="1" applyAlignment="1">
      <alignment horizontal="left"/>
    </xf>
    <xf numFmtId="16" fontId="17" fillId="0" borderId="0" xfId="0" applyNumberFormat="1" applyFont="1"/>
    <xf numFmtId="0" fontId="4" fillId="0" borderId="0" xfId="0" applyFont="1" applyAlignment="1">
      <alignment horizontal="center"/>
    </xf>
    <xf numFmtId="168" fontId="12" fillId="0" borderId="13" xfId="17" applyFont="1" applyBorder="1" applyAlignment="1">
      <alignment horizontal="left" vertical="center"/>
    </xf>
    <xf numFmtId="168" fontId="12" fillId="0" borderId="15" xfId="17" applyFont="1" applyBorder="1" applyAlignment="1">
      <alignment horizontal="left" vertical="center"/>
    </xf>
    <xf numFmtId="168" fontId="12" fillId="0" borderId="23" xfId="17" applyFont="1" applyBorder="1" applyAlignment="1">
      <alignment horizontal="left" vertical="center"/>
    </xf>
    <xf numFmtId="168" fontId="12" fillId="0" borderId="24" xfId="17" applyFont="1" applyBorder="1" applyAlignment="1">
      <alignment horizontal="left" vertical="center"/>
    </xf>
    <xf numFmtId="0" fontId="17" fillId="0" borderId="9" xfId="0" applyFont="1" applyBorder="1"/>
    <xf numFmtId="166" fontId="0" fillId="0" borderId="9" xfId="0" applyNumberFormat="1" applyBorder="1"/>
    <xf numFmtId="166" fontId="17" fillId="0" borderId="9" xfId="0" applyNumberFormat="1" applyFont="1" applyBorder="1"/>
  </cellXfs>
  <cellStyles count="19">
    <cellStyle name="Comma" xfId="1" builtinId="3"/>
    <cellStyle name="Currency" xfId="14" builtinId="4"/>
    <cellStyle name="Followed Hyperlink" xfId="13" builtinId="9" hidden="1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3" builtinId="9" hidden="1"/>
    <cellStyle name="Followed Hyperlink" xfId="5" builtinId="9" hidden="1"/>
    <cellStyle name="Geneva" xfId="18"/>
    <cellStyle name="Hyperlink" xfId="10" builtinId="8" hidden="1"/>
    <cellStyle name="Hyperlink" xfId="12" builtinId="8" hidden="1"/>
    <cellStyle name="Hyperlink" xfId="8" builtinId="8" hidden="1"/>
    <cellStyle name="Hyperlink" xfId="4" builtinId="8" hidden="1"/>
    <cellStyle name="Hyperlink" xfId="2" builtinId="8" hidden="1"/>
    <cellStyle name="Hyperlink" xfId="6" builtinId="8" hidden="1"/>
    <cellStyle name="Normal" xfId="0" builtinId="0"/>
    <cellStyle name="Normal 3" xfId="16"/>
    <cellStyle name="Normal_Showact2000" xfId="17"/>
    <cellStyle name="Percent" xfId="1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kinsonm\Downloads\Back%20to%20Ours%20Budget%20V6%20Nov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ds Film Festival"/>
      <sheetName val="Summary"/>
      <sheetName val="Area Festivals"/>
      <sheetName val="Feb 17"/>
      <sheetName val="Notes"/>
      <sheetName val="Venue Hire"/>
      <sheetName val="Venue Tech Hires"/>
      <sheetName val="Drssng Rm.Grn Rm.Artst Lisn"/>
      <sheetName val="Crew Hosp"/>
      <sheetName val="Duty of Care"/>
      <sheetName val="Security"/>
      <sheetName val="Transport"/>
      <sheetName val="Tech Mngr &amp; Apprntce"/>
      <sheetName val="Crew"/>
      <sheetName val="FOH"/>
      <sheetName val="Mrktng Mngr &amp; Apprntce"/>
      <sheetName val="Mrktng Cmpgn"/>
      <sheetName val="Access Prfmncs"/>
      <sheetName val="Photography"/>
      <sheetName val="Evaluation"/>
      <sheetName val="Remote Box Office"/>
      <sheetName val="Sheet3"/>
    </sheetNames>
    <sheetDataSet>
      <sheetData sheetId="0"/>
      <sheetData sheetId="1"/>
      <sheetData sheetId="2">
        <row r="99">
          <cell r="O99"/>
        </row>
        <row r="100">
          <cell r="O100"/>
        </row>
        <row r="101">
          <cell r="O101"/>
        </row>
        <row r="102">
          <cell r="O102"/>
        </row>
        <row r="103">
          <cell r="O103"/>
        </row>
        <row r="109">
          <cell r="O109"/>
        </row>
        <row r="118">
          <cell r="O118"/>
        </row>
        <row r="119">
          <cell r="O119"/>
        </row>
        <row r="120">
          <cell r="O120"/>
        </row>
        <row r="121">
          <cell r="O121"/>
        </row>
        <row r="122">
          <cell r="O12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D9" sqref="D9"/>
    </sheetView>
  </sheetViews>
  <sheetFormatPr defaultRowHeight="15.75"/>
  <cols>
    <col min="1" max="1" width="36" customWidth="1"/>
    <col min="2" max="2" width="12.125" bestFit="1" customWidth="1"/>
  </cols>
  <sheetData>
    <row r="1" spans="1:2">
      <c r="A1" s="5" t="s">
        <v>0</v>
      </c>
    </row>
    <row r="3" spans="1:2">
      <c r="A3" s="5" t="s">
        <v>257</v>
      </c>
      <c r="B3" s="9">
        <v>35000</v>
      </c>
    </row>
    <row r="4" spans="1:2">
      <c r="A4" s="5" t="s">
        <v>1</v>
      </c>
      <c r="B4" s="9">
        <v>19000</v>
      </c>
    </row>
    <row r="5" spans="1:2">
      <c r="A5" s="5" t="s">
        <v>2</v>
      </c>
      <c r="B5" s="9">
        <v>7000</v>
      </c>
    </row>
    <row r="6" spans="1:2">
      <c r="A6" s="5" t="s">
        <v>3</v>
      </c>
      <c r="B6" s="9">
        <v>3500</v>
      </c>
    </row>
    <row r="7" spans="1:2">
      <c r="A7" s="5" t="s">
        <v>4</v>
      </c>
      <c r="B7" s="9">
        <v>70000</v>
      </c>
    </row>
    <row r="8" spans="1:2">
      <c r="A8" s="5" t="s">
        <v>5</v>
      </c>
      <c r="B8" s="9">
        <v>5000</v>
      </c>
    </row>
    <row r="9" spans="1:2">
      <c r="A9" s="5"/>
      <c r="B9" s="9"/>
    </row>
    <row r="10" spans="1:2">
      <c r="A10" s="5" t="s">
        <v>6</v>
      </c>
      <c r="B10" s="9">
        <v>4341</v>
      </c>
    </row>
    <row r="12" spans="1:2">
      <c r="A12" s="5" t="s">
        <v>7</v>
      </c>
      <c r="B12" s="9">
        <f>SUM(B3:B10)</f>
        <v>143841</v>
      </c>
    </row>
    <row r="13" spans="1:2">
      <c r="B13" s="9"/>
    </row>
    <row r="14" spans="1:2">
      <c r="A14" s="5" t="s">
        <v>8</v>
      </c>
      <c r="B14" s="9"/>
    </row>
    <row r="15" spans="1:2">
      <c r="A15" t="s">
        <v>9</v>
      </c>
      <c r="B15" s="9">
        <v>125000</v>
      </c>
    </row>
    <row r="16" spans="1:2">
      <c r="A16" t="s">
        <v>10</v>
      </c>
      <c r="B16" s="9">
        <v>19000</v>
      </c>
    </row>
    <row r="17" spans="1:2">
      <c r="A17" s="5" t="s">
        <v>11</v>
      </c>
      <c r="B17" s="12">
        <f>SUM(B15:B16)</f>
        <v>144000</v>
      </c>
    </row>
    <row r="19" spans="1:2">
      <c r="A19" t="s">
        <v>12</v>
      </c>
      <c r="B19" s="143">
        <f>SUM(B17-B12)</f>
        <v>159</v>
      </c>
    </row>
    <row r="21" spans="1:2">
      <c r="A21" t="s">
        <v>13</v>
      </c>
    </row>
    <row r="22" spans="1:2">
      <c r="A22" t="s">
        <v>14</v>
      </c>
      <c r="B22">
        <v>21000</v>
      </c>
    </row>
    <row r="23" spans="1:2">
      <c r="A23" t="s">
        <v>15</v>
      </c>
      <c r="B23">
        <v>3500</v>
      </c>
    </row>
    <row r="24" spans="1:2">
      <c r="A24" t="s">
        <v>16</v>
      </c>
      <c r="B24">
        <v>3500</v>
      </c>
    </row>
    <row r="25" spans="1:2">
      <c r="A25" t="s">
        <v>7</v>
      </c>
      <c r="B25">
        <f>SUM(B22:B24)</f>
        <v>28000</v>
      </c>
    </row>
    <row r="27" spans="1:2">
      <c r="B27" s="143"/>
    </row>
    <row r="29" spans="1:2">
      <c r="B29" s="143"/>
    </row>
    <row r="30" spans="1:2">
      <c r="B30" s="143"/>
    </row>
    <row r="31" spans="1:2">
      <c r="B31" s="143"/>
    </row>
    <row r="33" spans="1:2" hidden="1">
      <c r="A33" t="s">
        <v>6</v>
      </c>
      <c r="B33" s="9">
        <v>4341</v>
      </c>
    </row>
    <row r="34" spans="1:2" hidden="1">
      <c r="A34" t="s">
        <v>17</v>
      </c>
      <c r="B34" s="9">
        <v>62000</v>
      </c>
    </row>
    <row r="35" spans="1:2" hidden="1">
      <c r="A35" t="s">
        <v>18</v>
      </c>
      <c r="B35" s="143">
        <v>40000</v>
      </c>
    </row>
    <row r="36" spans="1:2" hidden="1">
      <c r="A36" t="s">
        <v>19</v>
      </c>
      <c r="B36" s="143">
        <f>SUM(B33:B35)</f>
        <v>106341</v>
      </c>
    </row>
    <row r="37" spans="1:2" hidden="1">
      <c r="A37" t="s">
        <v>20</v>
      </c>
      <c r="B37" s="143">
        <f>SUM(B17-B36)</f>
        <v>37659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D26" sqref="D26"/>
    </sheetView>
  </sheetViews>
  <sheetFormatPr defaultRowHeight="15.75"/>
  <cols>
    <col min="1" max="1" width="32.125" customWidth="1"/>
    <col min="2" max="2" width="34.5" customWidth="1"/>
    <col min="3" max="3" width="15.75" customWidth="1"/>
    <col min="4" max="4" width="15" customWidth="1"/>
    <col min="5" max="6" width="18.5" customWidth="1"/>
  </cols>
  <sheetData>
    <row r="2" spans="1:6">
      <c r="A2" s="5" t="s">
        <v>58</v>
      </c>
      <c r="D2" s="9"/>
    </row>
    <row r="3" spans="1:6">
      <c r="A3" s="5" t="s">
        <v>59</v>
      </c>
      <c r="B3" t="s">
        <v>60</v>
      </c>
      <c r="C3">
        <v>3</v>
      </c>
      <c r="D3" s="9">
        <v>4000</v>
      </c>
      <c r="E3" s="36">
        <f>C3*D3</f>
        <v>12000</v>
      </c>
      <c r="F3" s="36"/>
    </row>
    <row r="4" spans="1:6">
      <c r="B4" t="s">
        <v>61</v>
      </c>
      <c r="C4">
        <v>10</v>
      </c>
      <c r="D4" s="9">
        <v>1500</v>
      </c>
      <c r="E4" s="36">
        <f>C4*D4</f>
        <v>15000</v>
      </c>
      <c r="F4" s="36"/>
    </row>
    <row r="5" spans="1:6">
      <c r="B5" t="s">
        <v>62</v>
      </c>
      <c r="C5">
        <v>20</v>
      </c>
      <c r="D5" s="9">
        <v>50</v>
      </c>
      <c r="E5" s="36">
        <f>C5*D5</f>
        <v>1000</v>
      </c>
      <c r="F5" s="36"/>
    </row>
    <row r="6" spans="1:6">
      <c r="B6" t="s">
        <v>63</v>
      </c>
      <c r="C6">
        <v>10</v>
      </c>
      <c r="D6" s="9">
        <v>250</v>
      </c>
      <c r="E6" s="39">
        <f>+C6*D6</f>
        <v>2500</v>
      </c>
      <c r="F6" s="39"/>
    </row>
    <row r="7" spans="1:6">
      <c r="B7" t="s">
        <v>64</v>
      </c>
      <c r="C7">
        <v>10</v>
      </c>
      <c r="D7" s="9">
        <v>250</v>
      </c>
      <c r="E7" s="36">
        <f>+C7*D7</f>
        <v>2500</v>
      </c>
      <c r="F7" s="36"/>
    </row>
    <row r="8" spans="1:6">
      <c r="D8" s="9"/>
      <c r="E8" s="6">
        <f>SUM(E3:E7)</f>
        <v>33000</v>
      </c>
      <c r="F8" s="16"/>
    </row>
    <row r="11" spans="1:6">
      <c r="A11" s="5" t="s">
        <v>140</v>
      </c>
      <c r="B11" t="s">
        <v>60</v>
      </c>
      <c r="C11">
        <v>2</v>
      </c>
      <c r="D11" s="9">
        <v>4000</v>
      </c>
      <c r="E11" s="36">
        <f>C11*D11</f>
        <v>8000</v>
      </c>
      <c r="F11" s="36"/>
    </row>
    <row r="12" spans="1:6">
      <c r="B12" t="s">
        <v>61</v>
      </c>
      <c r="C12">
        <v>3</v>
      </c>
      <c r="D12" s="9">
        <v>1500</v>
      </c>
      <c r="E12" s="36">
        <f>C12*D12</f>
        <v>4500</v>
      </c>
      <c r="F12" s="36"/>
    </row>
    <row r="13" spans="1:6">
      <c r="B13" t="s">
        <v>62</v>
      </c>
      <c r="C13">
        <v>6</v>
      </c>
      <c r="D13" s="9">
        <v>50</v>
      </c>
      <c r="E13" s="36">
        <f>C13*D13</f>
        <v>300</v>
      </c>
      <c r="F13" s="36"/>
    </row>
    <row r="14" spans="1:6">
      <c r="B14" t="s">
        <v>63</v>
      </c>
      <c r="C14">
        <v>10</v>
      </c>
      <c r="D14" s="9">
        <v>250</v>
      </c>
      <c r="E14" s="39">
        <f>+C14*D14</f>
        <v>2500</v>
      </c>
      <c r="F14" s="39"/>
    </row>
    <row r="15" spans="1:6">
      <c r="B15" t="s">
        <v>64</v>
      </c>
      <c r="C15">
        <v>10</v>
      </c>
      <c r="D15" s="9">
        <v>250</v>
      </c>
      <c r="E15" s="36">
        <f>+C15*D15</f>
        <v>2500</v>
      </c>
      <c r="F15" s="36"/>
    </row>
    <row r="16" spans="1:6">
      <c r="D16" s="9"/>
      <c r="E16" s="6">
        <f>SUM(E11:E15)</f>
        <v>17800</v>
      </c>
      <c r="F16" s="16"/>
    </row>
    <row r="19" spans="4:5">
      <c r="D19" t="s">
        <v>23</v>
      </c>
      <c r="E19" s="9">
        <f>SUM(E8-E16)</f>
        <v>15200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156"/>
  <sheetViews>
    <sheetView zoomScale="68" zoomScaleNormal="68" workbookViewId="0">
      <selection activeCell="E160" sqref="E160"/>
    </sheetView>
  </sheetViews>
  <sheetFormatPr defaultRowHeight="15.75"/>
  <cols>
    <col min="2" max="2" width="39.125" style="55" bestFit="1" customWidth="1"/>
    <col min="3" max="6" width="13.25" style="55" customWidth="1"/>
    <col min="8" max="8" width="39.125" bestFit="1" customWidth="1"/>
    <col min="9" max="12" width="13.25" customWidth="1"/>
    <col min="14" max="14" width="39.125" bestFit="1" customWidth="1"/>
    <col min="15" max="18" width="13.25" customWidth="1"/>
  </cols>
  <sheetData>
    <row r="1" spans="2:18" ht="16.5" thickBot="1">
      <c r="C1"/>
      <c r="D1"/>
      <c r="E1"/>
      <c r="F1"/>
    </row>
    <row r="2" spans="2:18">
      <c r="B2" s="147" t="s">
        <v>141</v>
      </c>
      <c r="C2" s="56" t="s">
        <v>28</v>
      </c>
      <c r="D2" s="57" t="s">
        <v>28</v>
      </c>
      <c r="E2" s="57" t="s">
        <v>28</v>
      </c>
      <c r="F2" s="57" t="s">
        <v>28</v>
      </c>
      <c r="H2" s="147" t="s">
        <v>142</v>
      </c>
      <c r="I2" s="56" t="s">
        <v>28</v>
      </c>
      <c r="J2" s="57" t="s">
        <v>28</v>
      </c>
      <c r="K2" s="57" t="s">
        <v>28</v>
      </c>
      <c r="L2" s="57" t="s">
        <v>28</v>
      </c>
      <c r="N2" s="147" t="s">
        <v>143</v>
      </c>
      <c r="O2" s="56" t="s">
        <v>28</v>
      </c>
      <c r="P2" s="57" t="s">
        <v>28</v>
      </c>
      <c r="Q2" s="57" t="s">
        <v>28</v>
      </c>
      <c r="R2" s="57" t="s">
        <v>28</v>
      </c>
    </row>
    <row r="3" spans="2:18" ht="16.5" thickBot="1">
      <c r="B3" s="148"/>
      <c r="C3" s="58"/>
      <c r="D3" s="59"/>
      <c r="E3" s="59"/>
      <c r="F3" s="59"/>
      <c r="H3" s="148"/>
      <c r="I3" s="58"/>
      <c r="J3" s="59"/>
      <c r="K3" s="59"/>
      <c r="L3" s="59"/>
      <c r="N3" s="148"/>
      <c r="O3" s="58"/>
      <c r="P3" s="59"/>
      <c r="Q3" s="59"/>
      <c r="R3" s="59"/>
    </row>
    <row r="4" spans="2:18">
      <c r="B4" s="60" t="s">
        <v>144</v>
      </c>
      <c r="C4" s="61" t="s">
        <v>25</v>
      </c>
      <c r="D4" s="61" t="s">
        <v>25</v>
      </c>
      <c r="E4" s="61" t="s">
        <v>25</v>
      </c>
      <c r="F4" s="61" t="s">
        <v>25</v>
      </c>
      <c r="H4" s="60" t="s">
        <v>144</v>
      </c>
      <c r="I4" s="61" t="s">
        <v>25</v>
      </c>
      <c r="J4" s="61" t="s">
        <v>25</v>
      </c>
      <c r="K4" s="61" t="s">
        <v>25</v>
      </c>
      <c r="L4" s="61" t="s">
        <v>25</v>
      </c>
      <c r="N4" s="60" t="s">
        <v>144</v>
      </c>
      <c r="O4" s="61" t="s">
        <v>25</v>
      </c>
      <c r="P4" s="61" t="s">
        <v>25</v>
      </c>
      <c r="Q4" s="61" t="s">
        <v>25</v>
      </c>
      <c r="R4" s="61" t="s">
        <v>25</v>
      </c>
    </row>
    <row r="5" spans="2:18">
      <c r="B5" s="60" t="s">
        <v>145</v>
      </c>
      <c r="C5" s="61" t="s">
        <v>146</v>
      </c>
      <c r="D5" s="61" t="s">
        <v>146</v>
      </c>
      <c r="E5" s="61" t="s">
        <v>146</v>
      </c>
      <c r="F5" s="61" t="s">
        <v>146</v>
      </c>
      <c r="H5" s="60" t="s">
        <v>145</v>
      </c>
      <c r="I5" s="61" t="s">
        <v>146</v>
      </c>
      <c r="J5" s="61" t="s">
        <v>146</v>
      </c>
      <c r="K5" s="61" t="s">
        <v>146</v>
      </c>
      <c r="L5" s="61" t="s">
        <v>146</v>
      </c>
      <c r="N5" s="60" t="s">
        <v>145</v>
      </c>
      <c r="O5" s="61" t="s">
        <v>146</v>
      </c>
      <c r="P5" s="61" t="s">
        <v>146</v>
      </c>
      <c r="Q5" s="61" t="s">
        <v>146</v>
      </c>
      <c r="R5" s="61" t="s">
        <v>146</v>
      </c>
    </row>
    <row r="6" spans="2:18">
      <c r="B6" s="60" t="s">
        <v>147</v>
      </c>
      <c r="C6" s="62" t="s">
        <v>148</v>
      </c>
      <c r="D6" s="62" t="s">
        <v>148</v>
      </c>
      <c r="E6" s="62" t="s">
        <v>148</v>
      </c>
      <c r="F6" s="62" t="s">
        <v>148</v>
      </c>
      <c r="H6" s="60" t="s">
        <v>147</v>
      </c>
      <c r="I6" s="62" t="s">
        <v>148</v>
      </c>
      <c r="J6" s="62" t="s">
        <v>148</v>
      </c>
      <c r="K6" s="62" t="s">
        <v>148</v>
      </c>
      <c r="L6" s="62" t="s">
        <v>148</v>
      </c>
      <c r="N6" s="60" t="s">
        <v>147</v>
      </c>
      <c r="O6" s="62" t="s">
        <v>148</v>
      </c>
      <c r="P6" s="62" t="s">
        <v>148</v>
      </c>
      <c r="Q6" s="62" t="s">
        <v>148</v>
      </c>
      <c r="R6" s="62" t="s">
        <v>148</v>
      </c>
    </row>
    <row r="7" spans="2:18">
      <c r="B7" s="60" t="s">
        <v>149</v>
      </c>
      <c r="C7" s="63" t="s">
        <v>150</v>
      </c>
      <c r="D7" s="63" t="s">
        <v>150</v>
      </c>
      <c r="E7" s="63" t="s">
        <v>150</v>
      </c>
      <c r="F7" s="63" t="s">
        <v>150</v>
      </c>
      <c r="H7" s="60" t="s">
        <v>149</v>
      </c>
      <c r="I7" s="63" t="s">
        <v>150</v>
      </c>
      <c r="J7" s="63" t="s">
        <v>150</v>
      </c>
      <c r="K7" s="63" t="s">
        <v>150</v>
      </c>
      <c r="L7" s="63" t="s">
        <v>150</v>
      </c>
      <c r="N7" s="60" t="s">
        <v>149</v>
      </c>
      <c r="O7" s="63" t="s">
        <v>150</v>
      </c>
      <c r="P7" s="63" t="s">
        <v>150</v>
      </c>
      <c r="Q7" s="63" t="s">
        <v>150</v>
      </c>
      <c r="R7" s="63" t="s">
        <v>150</v>
      </c>
    </row>
    <row r="8" spans="2:18">
      <c r="B8" s="60" t="s">
        <v>151</v>
      </c>
      <c r="C8" s="63" t="s">
        <v>152</v>
      </c>
      <c r="D8" s="63" t="s">
        <v>152</v>
      </c>
      <c r="E8" s="63" t="s">
        <v>152</v>
      </c>
      <c r="F8" s="63" t="s">
        <v>152</v>
      </c>
      <c r="H8" s="60" t="s">
        <v>151</v>
      </c>
      <c r="I8" s="63" t="s">
        <v>152</v>
      </c>
      <c r="J8" s="63" t="s">
        <v>152</v>
      </c>
      <c r="K8" s="63" t="s">
        <v>152</v>
      </c>
      <c r="L8" s="63" t="s">
        <v>152</v>
      </c>
      <c r="N8" s="60" t="s">
        <v>151</v>
      </c>
      <c r="O8" s="63" t="s">
        <v>152</v>
      </c>
      <c r="P8" s="63" t="s">
        <v>152</v>
      </c>
      <c r="Q8" s="63" t="s">
        <v>152</v>
      </c>
      <c r="R8" s="63" t="s">
        <v>152</v>
      </c>
    </row>
    <row r="9" spans="2:18">
      <c r="B9" s="60" t="s">
        <v>153</v>
      </c>
      <c r="C9" s="64"/>
      <c r="D9" s="64"/>
      <c r="E9" s="64"/>
      <c r="F9" s="64"/>
      <c r="H9" s="60" t="s">
        <v>153</v>
      </c>
      <c r="I9" s="64"/>
      <c r="J9" s="64"/>
      <c r="K9" s="64"/>
      <c r="L9" s="64"/>
      <c r="N9" s="60" t="s">
        <v>153</v>
      </c>
      <c r="O9" s="64"/>
      <c r="P9" s="64"/>
      <c r="Q9" s="64"/>
      <c r="R9" s="64"/>
    </row>
    <row r="10" spans="2:18">
      <c r="B10" s="65" t="s">
        <v>154</v>
      </c>
      <c r="C10" s="66"/>
      <c r="D10" s="66"/>
      <c r="E10" s="66"/>
      <c r="F10" s="66"/>
      <c r="H10" s="65" t="s">
        <v>154</v>
      </c>
      <c r="I10" s="66"/>
      <c r="J10" s="66"/>
      <c r="K10" s="66"/>
      <c r="L10" s="66"/>
      <c r="N10" s="65" t="s">
        <v>154</v>
      </c>
      <c r="O10" s="66"/>
      <c r="P10" s="66"/>
      <c r="Q10" s="66"/>
      <c r="R10" s="66"/>
    </row>
    <row r="11" spans="2:18">
      <c r="B11" s="67" t="s">
        <v>155</v>
      </c>
      <c r="C11" s="68"/>
      <c r="D11" s="68"/>
      <c r="E11" s="68"/>
      <c r="F11" s="68"/>
      <c r="H11" s="67" t="s">
        <v>155</v>
      </c>
      <c r="I11" s="68"/>
      <c r="J11" s="68"/>
      <c r="K11" s="68"/>
      <c r="L11" s="68"/>
      <c r="N11" s="67" t="s">
        <v>155</v>
      </c>
      <c r="O11" s="68"/>
      <c r="P11" s="68"/>
      <c r="Q11" s="68"/>
      <c r="R11" s="68"/>
    </row>
    <row r="12" spans="2:18">
      <c r="B12" s="69" t="s">
        <v>156</v>
      </c>
      <c r="C12" s="70">
        <v>1100</v>
      </c>
      <c r="D12" s="70">
        <v>1100</v>
      </c>
      <c r="E12" s="70">
        <v>1100</v>
      </c>
      <c r="F12" s="70">
        <v>1100</v>
      </c>
      <c r="H12" s="69" t="s">
        <v>156</v>
      </c>
      <c r="I12" s="70">
        <v>1100</v>
      </c>
      <c r="J12" s="70">
        <v>1100</v>
      </c>
      <c r="K12" s="70">
        <v>1100</v>
      </c>
      <c r="L12" s="70">
        <v>1100</v>
      </c>
      <c r="N12" s="69" t="s">
        <v>156</v>
      </c>
      <c r="O12" s="70">
        <v>1100</v>
      </c>
      <c r="P12" s="70">
        <v>1100</v>
      </c>
      <c r="Q12" s="70">
        <v>1100</v>
      </c>
      <c r="R12" s="70">
        <v>1100</v>
      </c>
    </row>
    <row r="13" spans="2:18">
      <c r="B13" s="71" t="s">
        <v>157</v>
      </c>
      <c r="C13" s="72">
        <v>0.6</v>
      </c>
      <c r="D13" s="72">
        <v>0.7</v>
      </c>
      <c r="E13" s="72">
        <v>0.8</v>
      </c>
      <c r="F13" s="72">
        <v>0.9</v>
      </c>
      <c r="H13" s="71" t="s">
        <v>157</v>
      </c>
      <c r="I13" s="72">
        <v>0.6</v>
      </c>
      <c r="J13" s="72">
        <v>0.7</v>
      </c>
      <c r="K13" s="72">
        <v>0.8</v>
      </c>
      <c r="L13" s="72">
        <v>0.9</v>
      </c>
      <c r="N13" s="71" t="s">
        <v>157</v>
      </c>
      <c r="O13" s="72">
        <v>0.6</v>
      </c>
      <c r="P13" s="72">
        <v>0.7</v>
      </c>
      <c r="Q13" s="72">
        <v>0.8</v>
      </c>
      <c r="R13" s="72">
        <v>0.9</v>
      </c>
    </row>
    <row r="14" spans="2:18">
      <c r="B14" s="71" t="s">
        <v>158</v>
      </c>
      <c r="C14" s="73">
        <f>+C12*C13</f>
        <v>660</v>
      </c>
      <c r="D14" s="73">
        <f>+D12*D13</f>
        <v>770</v>
      </c>
      <c r="E14" s="73">
        <f>+E12*E13</f>
        <v>880</v>
      </c>
      <c r="F14" s="73">
        <f>+F12*F13</f>
        <v>990</v>
      </c>
      <c r="H14" s="71" t="s">
        <v>158</v>
      </c>
      <c r="I14" s="73">
        <f>+I12*I13</f>
        <v>660</v>
      </c>
      <c r="J14" s="73">
        <f>+J12*J13</f>
        <v>770</v>
      </c>
      <c r="K14" s="73">
        <f>+K12*K13</f>
        <v>880</v>
      </c>
      <c r="L14" s="73">
        <f>+L12*L13</f>
        <v>990</v>
      </c>
      <c r="N14" s="71" t="s">
        <v>158</v>
      </c>
      <c r="O14" s="73">
        <f>+O12*O13</f>
        <v>660</v>
      </c>
      <c r="P14" s="73">
        <f>+P12*P13</f>
        <v>770</v>
      </c>
      <c r="Q14" s="73">
        <f>+Q12*Q13</f>
        <v>880</v>
      </c>
      <c r="R14" s="73">
        <f>+R12*R13</f>
        <v>990</v>
      </c>
    </row>
    <row r="15" spans="2:18">
      <c r="B15" s="74" t="s">
        <v>159</v>
      </c>
      <c r="C15" s="72">
        <v>0.7</v>
      </c>
      <c r="D15" s="72">
        <v>0.7</v>
      </c>
      <c r="E15" s="72">
        <v>0.7</v>
      </c>
      <c r="F15" s="72">
        <v>0.7</v>
      </c>
      <c r="H15" s="74" t="s">
        <v>159</v>
      </c>
      <c r="I15" s="72">
        <v>0.7</v>
      </c>
      <c r="J15" s="72">
        <v>0.7</v>
      </c>
      <c r="K15" s="72">
        <v>0.7</v>
      </c>
      <c r="L15" s="72">
        <v>0.7</v>
      </c>
      <c r="N15" s="74" t="s">
        <v>159</v>
      </c>
      <c r="O15" s="72">
        <v>0.7</v>
      </c>
      <c r="P15" s="72">
        <v>0.7</v>
      </c>
      <c r="Q15" s="72">
        <v>0.7</v>
      </c>
      <c r="R15" s="72">
        <v>0.7</v>
      </c>
    </row>
    <row r="16" spans="2:18">
      <c r="B16" s="74" t="s">
        <v>160</v>
      </c>
      <c r="C16" s="75">
        <f>+C14*C15</f>
        <v>461.99999999999994</v>
      </c>
      <c r="D16" s="75">
        <f>+D14*D15</f>
        <v>539</v>
      </c>
      <c r="E16" s="75">
        <f>+E14*E15</f>
        <v>616</v>
      </c>
      <c r="F16" s="75">
        <f>+F14*F15</f>
        <v>693</v>
      </c>
      <c r="H16" s="74" t="s">
        <v>160</v>
      </c>
      <c r="I16" s="75">
        <f>+I14*I15</f>
        <v>461.99999999999994</v>
      </c>
      <c r="J16" s="75">
        <f>+J14*J15</f>
        <v>539</v>
      </c>
      <c r="K16" s="75">
        <f>+K14*K15</f>
        <v>616</v>
      </c>
      <c r="L16" s="75">
        <f>+L14*L15</f>
        <v>693</v>
      </c>
      <c r="N16" s="74" t="s">
        <v>160</v>
      </c>
      <c r="O16" s="75">
        <f>+O14*O15</f>
        <v>461.99999999999994</v>
      </c>
      <c r="P16" s="75">
        <f>+P14*P15</f>
        <v>539</v>
      </c>
      <c r="Q16" s="75">
        <f>+Q14*Q15</f>
        <v>616</v>
      </c>
      <c r="R16" s="75">
        <f>+R14*R15</f>
        <v>693</v>
      </c>
    </row>
    <row r="17" spans="2:18">
      <c r="B17" s="74" t="s">
        <v>161</v>
      </c>
      <c r="C17" s="76">
        <v>35</v>
      </c>
      <c r="D17" s="76">
        <v>35</v>
      </c>
      <c r="E17" s="76">
        <v>35</v>
      </c>
      <c r="F17" s="76">
        <v>35</v>
      </c>
      <c r="H17" s="74" t="s">
        <v>161</v>
      </c>
      <c r="I17" s="76">
        <v>35</v>
      </c>
      <c r="J17" s="76">
        <v>35</v>
      </c>
      <c r="K17" s="76">
        <v>35</v>
      </c>
      <c r="L17" s="76">
        <v>35</v>
      </c>
      <c r="N17" s="74" t="s">
        <v>161</v>
      </c>
      <c r="O17" s="76">
        <v>35</v>
      </c>
      <c r="P17" s="76">
        <v>35</v>
      </c>
      <c r="Q17" s="76">
        <v>35</v>
      </c>
      <c r="R17" s="76">
        <v>35</v>
      </c>
    </row>
    <row r="18" spans="2:18">
      <c r="B18" s="74" t="s">
        <v>162</v>
      </c>
      <c r="C18" s="77">
        <f>1-C15</f>
        <v>0.30000000000000004</v>
      </c>
      <c r="D18" s="77">
        <f>1-D15</f>
        <v>0.30000000000000004</v>
      </c>
      <c r="E18" s="77">
        <f>1-E15</f>
        <v>0.30000000000000004</v>
      </c>
      <c r="F18" s="77">
        <f>1-F15</f>
        <v>0.30000000000000004</v>
      </c>
      <c r="H18" s="74" t="s">
        <v>162</v>
      </c>
      <c r="I18" s="77">
        <f>1-I15</f>
        <v>0.30000000000000004</v>
      </c>
      <c r="J18" s="77">
        <f>1-J15</f>
        <v>0.30000000000000004</v>
      </c>
      <c r="K18" s="77">
        <f>1-K15</f>
        <v>0.30000000000000004</v>
      </c>
      <c r="L18" s="77">
        <f>1-L15</f>
        <v>0.30000000000000004</v>
      </c>
      <c r="N18" s="74" t="s">
        <v>162</v>
      </c>
      <c r="O18" s="77">
        <f>1-O15</f>
        <v>0.30000000000000004</v>
      </c>
      <c r="P18" s="77">
        <f>1-P15</f>
        <v>0.30000000000000004</v>
      </c>
      <c r="Q18" s="77">
        <f>1-Q15</f>
        <v>0.30000000000000004</v>
      </c>
      <c r="R18" s="77">
        <f>1-R15</f>
        <v>0.30000000000000004</v>
      </c>
    </row>
    <row r="19" spans="2:18">
      <c r="B19" s="74" t="s">
        <v>163</v>
      </c>
      <c r="C19" s="78">
        <f>+C18*C14</f>
        <v>198.00000000000003</v>
      </c>
      <c r="D19" s="78">
        <f>+D18*D14</f>
        <v>231.00000000000003</v>
      </c>
      <c r="E19" s="78">
        <f>+E18*E14</f>
        <v>264.00000000000006</v>
      </c>
      <c r="F19" s="78">
        <f>+F18*F14</f>
        <v>297.00000000000006</v>
      </c>
      <c r="H19" s="74" t="s">
        <v>163</v>
      </c>
      <c r="I19" s="78">
        <f>+I18*I14</f>
        <v>198.00000000000003</v>
      </c>
      <c r="J19" s="78">
        <f>+J18*J14</f>
        <v>231.00000000000003</v>
      </c>
      <c r="K19" s="78">
        <f>+K18*K14</f>
        <v>264.00000000000006</v>
      </c>
      <c r="L19" s="78">
        <f>+L18*L14</f>
        <v>297.00000000000006</v>
      </c>
      <c r="N19" s="74" t="s">
        <v>163</v>
      </c>
      <c r="O19" s="78">
        <f>+O18*O14</f>
        <v>198.00000000000003</v>
      </c>
      <c r="P19" s="78">
        <f>+P18*P14</f>
        <v>231.00000000000003</v>
      </c>
      <c r="Q19" s="78">
        <f>+Q18*Q14</f>
        <v>264.00000000000006</v>
      </c>
      <c r="R19" s="78">
        <f>+R18*R14</f>
        <v>297.00000000000006</v>
      </c>
    </row>
    <row r="20" spans="2:18">
      <c r="B20" s="74" t="s">
        <v>164</v>
      </c>
      <c r="C20" s="76">
        <v>25</v>
      </c>
      <c r="D20" s="76">
        <v>25</v>
      </c>
      <c r="E20" s="76">
        <v>25</v>
      </c>
      <c r="F20" s="76">
        <v>25</v>
      </c>
      <c r="H20" s="74" t="s">
        <v>164</v>
      </c>
      <c r="I20" s="76">
        <v>25</v>
      </c>
      <c r="J20" s="76">
        <v>25</v>
      </c>
      <c r="K20" s="76">
        <v>25</v>
      </c>
      <c r="L20" s="76">
        <v>25</v>
      </c>
      <c r="N20" s="74" t="s">
        <v>164</v>
      </c>
      <c r="O20" s="76">
        <v>25</v>
      </c>
      <c r="P20" s="76">
        <v>25</v>
      </c>
      <c r="Q20" s="76">
        <v>25</v>
      </c>
      <c r="R20" s="76">
        <v>25</v>
      </c>
    </row>
    <row r="21" spans="2:18">
      <c r="B21" s="79" t="s">
        <v>165</v>
      </c>
      <c r="C21" s="80">
        <f>+(C19*C20)+(C16*C17)</f>
        <v>21120</v>
      </c>
      <c r="D21" s="80">
        <f>+(D19*D20)+(D16*D17)</f>
        <v>24640</v>
      </c>
      <c r="E21" s="80">
        <f>+(E19*E20)+(E16*E17)</f>
        <v>28160</v>
      </c>
      <c r="F21" s="80">
        <f>+(F19*F20)+(F16*F17)</f>
        <v>31680</v>
      </c>
      <c r="H21" s="79" t="s">
        <v>165</v>
      </c>
      <c r="I21" s="80">
        <f>+(I19*I20)+(I16*I17)</f>
        <v>21120</v>
      </c>
      <c r="J21" s="80">
        <f>+(J19*J20)+(J16*J17)</f>
        <v>24640</v>
      </c>
      <c r="K21" s="80">
        <f>+(K19*K20)+(K16*K17)</f>
        <v>28160</v>
      </c>
      <c r="L21" s="80">
        <f>+(L19*L20)+(L16*L17)</f>
        <v>31680</v>
      </c>
      <c r="N21" s="79" t="s">
        <v>165</v>
      </c>
      <c r="O21" s="80">
        <f>+(O19*O20)+(O16*O17)</f>
        <v>21120</v>
      </c>
      <c r="P21" s="80">
        <f>+(P19*P20)+(P16*P17)</f>
        <v>24640</v>
      </c>
      <c r="Q21" s="80">
        <f>+(Q19*Q20)+(Q16*Q17)</f>
        <v>28160</v>
      </c>
      <c r="R21" s="80">
        <f>+(R19*R20)+(R16*R17)</f>
        <v>31680</v>
      </c>
    </row>
    <row r="22" spans="2:18">
      <c r="B22" s="71" t="s">
        <v>166</v>
      </c>
      <c r="C22" s="81">
        <f>+IF(C21=0,0,C21/(C16+C19))</f>
        <v>32</v>
      </c>
      <c r="D22" s="81">
        <f>+IF(D21=0,0,D21/(D16+D19))</f>
        <v>32</v>
      </c>
      <c r="E22" s="81">
        <f>+IF(E21=0,0,E21/(E16+E19))</f>
        <v>32</v>
      </c>
      <c r="F22" s="81">
        <f>+IF(F21=0,0,F21/(F16+F19))</f>
        <v>32</v>
      </c>
      <c r="H22" s="71" t="s">
        <v>166</v>
      </c>
      <c r="I22" s="81">
        <f>+IF(I21=0,0,I21/(I16+I19))</f>
        <v>32</v>
      </c>
      <c r="J22" s="81">
        <f>+IF(J21=0,0,J21/(J16+J19))</f>
        <v>32</v>
      </c>
      <c r="K22" s="81">
        <f>+IF(K21=0,0,K21/(K16+K19))</f>
        <v>32</v>
      </c>
      <c r="L22" s="81">
        <f>+IF(L21=0,0,L21/(L16+L19))</f>
        <v>32</v>
      </c>
      <c r="N22" s="71" t="s">
        <v>166</v>
      </c>
      <c r="O22" s="81">
        <f>+IF(O21=0,0,O21/(O16+O19))</f>
        <v>32</v>
      </c>
      <c r="P22" s="81">
        <f>+IF(P21=0,0,P21/(P16+P19))</f>
        <v>32</v>
      </c>
      <c r="Q22" s="81">
        <f>+IF(Q21=0,0,Q21/(Q16+Q19))</f>
        <v>32</v>
      </c>
      <c r="R22" s="81">
        <f>+IF(R21=0,0,R21/(R16+R19))</f>
        <v>32</v>
      </c>
    </row>
    <row r="23" spans="2:18">
      <c r="B23" s="82" t="s">
        <v>167</v>
      </c>
      <c r="C23" s="83">
        <v>1</v>
      </c>
      <c r="D23" s="83">
        <v>1</v>
      </c>
      <c r="E23" s="83">
        <v>1</v>
      </c>
      <c r="F23" s="83">
        <v>1</v>
      </c>
      <c r="H23" s="82" t="s">
        <v>167</v>
      </c>
      <c r="I23" s="83">
        <v>1</v>
      </c>
      <c r="J23" s="83">
        <v>1</v>
      </c>
      <c r="K23" s="83">
        <v>1</v>
      </c>
      <c r="L23" s="83">
        <v>1</v>
      </c>
      <c r="N23" s="82" t="s">
        <v>167</v>
      </c>
      <c r="O23" s="83">
        <v>1</v>
      </c>
      <c r="P23" s="83">
        <v>1</v>
      </c>
      <c r="Q23" s="83">
        <v>1</v>
      </c>
      <c r="R23" s="83">
        <v>1</v>
      </c>
    </row>
    <row r="24" spans="2:18">
      <c r="B24" s="84" t="s">
        <v>168</v>
      </c>
      <c r="C24" s="85">
        <f>C23*(C19+C16)</f>
        <v>660</v>
      </c>
      <c r="D24" s="85">
        <f>D23*(D19+D16)</f>
        <v>770</v>
      </c>
      <c r="E24" s="85">
        <f>E23*(E19+E16)</f>
        <v>880</v>
      </c>
      <c r="F24" s="85">
        <f>F23*(F19+F16)</f>
        <v>990</v>
      </c>
      <c r="H24" s="84" t="s">
        <v>168</v>
      </c>
      <c r="I24" s="85">
        <f>I23*(I19+I16)</f>
        <v>660</v>
      </c>
      <c r="J24" s="85">
        <f>J23*(J19+J16)</f>
        <v>770</v>
      </c>
      <c r="K24" s="85">
        <f>K23*(K19+K16)</f>
        <v>880</v>
      </c>
      <c r="L24" s="85">
        <f>L23*(L19+L16)</f>
        <v>990</v>
      </c>
      <c r="N24" s="84" t="s">
        <v>168</v>
      </c>
      <c r="O24" s="85">
        <f>O23*(O19+O16)</f>
        <v>660</v>
      </c>
      <c r="P24" s="85">
        <f>P23*(P19+P16)</f>
        <v>770</v>
      </c>
      <c r="Q24" s="85">
        <f>Q23*(Q19+Q16)</f>
        <v>880</v>
      </c>
      <c r="R24" s="85">
        <f>R23*(R19+R16)</f>
        <v>990</v>
      </c>
    </row>
    <row r="25" spans="2:18">
      <c r="B25" s="84"/>
      <c r="C25" s="85"/>
      <c r="D25" s="85"/>
      <c r="E25" s="85"/>
      <c r="F25" s="85"/>
      <c r="H25" s="84"/>
      <c r="I25" s="85"/>
      <c r="J25" s="85"/>
      <c r="K25" s="85"/>
      <c r="L25" s="85"/>
      <c r="N25" s="84"/>
      <c r="O25" s="85"/>
      <c r="P25" s="85"/>
      <c r="Q25" s="85"/>
      <c r="R25" s="85"/>
    </row>
    <row r="26" spans="2:18">
      <c r="B26" s="86" t="s">
        <v>169</v>
      </c>
      <c r="C26" s="87">
        <f>C24*C22</f>
        <v>21120</v>
      </c>
      <c r="D26" s="87">
        <f>D24*D22</f>
        <v>24640</v>
      </c>
      <c r="E26" s="87">
        <f>E24*E22</f>
        <v>28160</v>
      </c>
      <c r="F26" s="87">
        <f>F24*F22</f>
        <v>31680</v>
      </c>
      <c r="H26" s="86" t="s">
        <v>169</v>
      </c>
      <c r="I26" s="87">
        <f>I24*I22</f>
        <v>21120</v>
      </c>
      <c r="J26" s="87">
        <f>J24*J22</f>
        <v>24640</v>
      </c>
      <c r="K26" s="87">
        <f>K24*K22</f>
        <v>28160</v>
      </c>
      <c r="L26" s="87">
        <f>L24*L22</f>
        <v>31680</v>
      </c>
      <c r="N26" s="86" t="s">
        <v>169</v>
      </c>
      <c r="O26" s="87">
        <f>O24*O22</f>
        <v>21120</v>
      </c>
      <c r="P26" s="87">
        <f>P24*P22</f>
        <v>24640</v>
      </c>
      <c r="Q26" s="87">
        <f>Q24*Q22</f>
        <v>28160</v>
      </c>
      <c r="R26" s="87">
        <f>R24*R22</f>
        <v>31680</v>
      </c>
    </row>
    <row r="27" spans="2:18">
      <c r="B27" s="86"/>
      <c r="C27" s="85">
        <v>0</v>
      </c>
      <c r="D27" s="85">
        <v>0</v>
      </c>
      <c r="E27" s="85">
        <v>0</v>
      </c>
      <c r="F27" s="85">
        <v>0</v>
      </c>
      <c r="H27" s="86"/>
      <c r="I27" s="85">
        <v>0</v>
      </c>
      <c r="J27" s="85">
        <v>0</v>
      </c>
      <c r="K27" s="85">
        <v>0</v>
      </c>
      <c r="L27" s="85">
        <v>0</v>
      </c>
      <c r="N27" s="86"/>
      <c r="O27" s="85">
        <v>0</v>
      </c>
      <c r="P27" s="85">
        <v>0</v>
      </c>
      <c r="Q27" s="85">
        <v>0</v>
      </c>
      <c r="R27" s="85">
        <v>0</v>
      </c>
    </row>
    <row r="28" spans="2:18">
      <c r="B28" s="86" t="s">
        <v>170</v>
      </c>
      <c r="C28" s="85">
        <f>-C26/6</f>
        <v>-3520</v>
      </c>
      <c r="D28" s="85">
        <f>-D26/6</f>
        <v>-4106.666666666667</v>
      </c>
      <c r="E28" s="85">
        <f>-E26/6</f>
        <v>-4693.333333333333</v>
      </c>
      <c r="F28" s="85">
        <f>-F26/6</f>
        <v>-5280</v>
      </c>
      <c r="H28" s="86" t="s">
        <v>170</v>
      </c>
      <c r="I28" s="85">
        <f>-I26/6</f>
        <v>-3520</v>
      </c>
      <c r="J28" s="85">
        <f>-J26/6</f>
        <v>-4106.666666666667</v>
      </c>
      <c r="K28" s="85">
        <f>-K26/6</f>
        <v>-4693.333333333333</v>
      </c>
      <c r="L28" s="85">
        <f>-L26/6</f>
        <v>-5280</v>
      </c>
      <c r="N28" s="86" t="s">
        <v>170</v>
      </c>
      <c r="O28" s="85">
        <f>-O26/6</f>
        <v>-3520</v>
      </c>
      <c r="P28" s="85">
        <f>-P26/6</f>
        <v>-4106.666666666667</v>
      </c>
      <c r="Q28" s="85">
        <f>-Q26/6</f>
        <v>-4693.333333333333</v>
      </c>
      <c r="R28" s="85">
        <f>-R26/6</f>
        <v>-5280</v>
      </c>
    </row>
    <row r="29" spans="2:18">
      <c r="B29" s="88" t="s">
        <v>171</v>
      </c>
      <c r="C29" s="88">
        <f>+C26+C27+C28</f>
        <v>17600</v>
      </c>
      <c r="D29" s="88">
        <f>+D26+D27+D28</f>
        <v>20533.333333333332</v>
      </c>
      <c r="E29" s="88">
        <f>+E26+E27+E28</f>
        <v>23466.666666666668</v>
      </c>
      <c r="F29" s="89">
        <f>+F26+F27+F28</f>
        <v>26400</v>
      </c>
      <c r="H29" s="88" t="s">
        <v>171</v>
      </c>
      <c r="I29" s="88">
        <f>+I26+I27+I28</f>
        <v>17600</v>
      </c>
      <c r="J29" s="88">
        <f>+J26+J27+J28</f>
        <v>20533.333333333332</v>
      </c>
      <c r="K29" s="88">
        <f>+K26+K27+K28</f>
        <v>23466.666666666668</v>
      </c>
      <c r="L29" s="89">
        <f>+L26+L27+L28</f>
        <v>26400</v>
      </c>
      <c r="N29" s="88" t="s">
        <v>171</v>
      </c>
      <c r="O29" s="88">
        <f>+O26+O27+O28</f>
        <v>17600</v>
      </c>
      <c r="P29" s="88">
        <f>+P26+P27+P28</f>
        <v>20533.333333333332</v>
      </c>
      <c r="Q29" s="88">
        <f>+Q26+Q27+Q28</f>
        <v>23466.666666666668</v>
      </c>
      <c r="R29" s="89">
        <f>+R26+R27+R28</f>
        <v>26400</v>
      </c>
    </row>
    <row r="30" spans="2:18">
      <c r="B30" s="90" t="s">
        <v>172</v>
      </c>
      <c r="C30" s="85"/>
      <c r="D30" s="85"/>
      <c r="E30" s="85"/>
      <c r="F30" s="85"/>
      <c r="H30" s="90" t="s">
        <v>172</v>
      </c>
      <c r="I30" s="85"/>
      <c r="J30" s="85"/>
      <c r="K30" s="85"/>
      <c r="L30" s="85"/>
      <c r="N30" s="90" t="s">
        <v>172</v>
      </c>
      <c r="O30" s="85"/>
      <c r="P30" s="85"/>
      <c r="Q30" s="85"/>
      <c r="R30" s="85"/>
    </row>
    <row r="31" spans="2:18">
      <c r="B31" s="91" t="s">
        <v>173</v>
      </c>
      <c r="C31" s="92">
        <v>25000</v>
      </c>
      <c r="D31" s="92">
        <v>25000</v>
      </c>
      <c r="E31" s="92">
        <v>25000</v>
      </c>
      <c r="F31" s="92">
        <v>25000</v>
      </c>
      <c r="H31" s="91" t="s">
        <v>173</v>
      </c>
      <c r="I31" s="92">
        <v>20000</v>
      </c>
      <c r="J31" s="92">
        <v>20000</v>
      </c>
      <c r="K31" s="92">
        <v>20000</v>
      </c>
      <c r="L31" s="92">
        <v>20000</v>
      </c>
      <c r="N31" s="91" t="s">
        <v>173</v>
      </c>
      <c r="O31" s="92">
        <v>15000</v>
      </c>
      <c r="P31" s="92">
        <v>15000</v>
      </c>
      <c r="Q31" s="92">
        <v>15000</v>
      </c>
      <c r="R31" s="92">
        <v>15000</v>
      </c>
    </row>
    <row r="32" spans="2:18">
      <c r="B32" s="93" t="s">
        <v>174</v>
      </c>
      <c r="C32" s="94">
        <v>250</v>
      </c>
      <c r="D32" s="94">
        <v>250</v>
      </c>
      <c r="E32" s="94">
        <v>250</v>
      </c>
      <c r="F32" s="94">
        <v>250</v>
      </c>
      <c r="H32" s="93" t="s">
        <v>174</v>
      </c>
      <c r="I32" s="94">
        <v>250</v>
      </c>
      <c r="J32" s="94">
        <v>250</v>
      </c>
      <c r="K32" s="94">
        <v>250</v>
      </c>
      <c r="L32" s="94">
        <v>250</v>
      </c>
      <c r="N32" s="93" t="s">
        <v>174</v>
      </c>
      <c r="O32" s="94">
        <v>250</v>
      </c>
      <c r="P32" s="94">
        <v>250</v>
      </c>
      <c r="Q32" s="94">
        <v>250</v>
      </c>
      <c r="R32" s="94">
        <v>250</v>
      </c>
    </row>
    <row r="33" spans="2:18">
      <c r="B33" s="93" t="s">
        <v>26</v>
      </c>
      <c r="C33" s="94">
        <v>10000</v>
      </c>
      <c r="D33" s="94">
        <v>10000</v>
      </c>
      <c r="E33" s="94">
        <v>10000</v>
      </c>
      <c r="F33" s="94">
        <v>10000</v>
      </c>
      <c r="H33" s="93" t="s">
        <v>26</v>
      </c>
      <c r="I33" s="94">
        <v>10000</v>
      </c>
      <c r="J33" s="94">
        <v>10000</v>
      </c>
      <c r="K33" s="94">
        <v>10000</v>
      </c>
      <c r="L33" s="94">
        <v>10000</v>
      </c>
      <c r="N33" s="93" t="s">
        <v>26</v>
      </c>
      <c r="O33" s="94">
        <v>10000</v>
      </c>
      <c r="P33" s="94">
        <v>10000</v>
      </c>
      <c r="Q33" s="94">
        <v>10000</v>
      </c>
      <c r="R33" s="94">
        <v>10000</v>
      </c>
    </row>
    <row r="34" spans="2:18">
      <c r="B34" s="93" t="s">
        <v>175</v>
      </c>
      <c r="C34" s="94">
        <v>10000</v>
      </c>
      <c r="D34" s="94">
        <v>10000</v>
      </c>
      <c r="E34" s="94">
        <v>10000</v>
      </c>
      <c r="F34" s="94">
        <v>10000</v>
      </c>
      <c r="H34" s="93" t="s">
        <v>175</v>
      </c>
      <c r="I34" s="94">
        <v>10000</v>
      </c>
      <c r="J34" s="94">
        <v>10000</v>
      </c>
      <c r="K34" s="94">
        <v>10000</v>
      </c>
      <c r="L34" s="94">
        <v>10000</v>
      </c>
      <c r="N34" s="93" t="s">
        <v>175</v>
      </c>
      <c r="O34" s="94">
        <v>10000</v>
      </c>
      <c r="P34" s="94">
        <v>10000</v>
      </c>
      <c r="Q34" s="94">
        <v>10000</v>
      </c>
      <c r="R34" s="94">
        <v>10000</v>
      </c>
    </row>
    <row r="35" spans="2:18">
      <c r="B35" s="93" t="s">
        <v>42</v>
      </c>
      <c r="C35" s="94">
        <v>2500</v>
      </c>
      <c r="D35" s="94">
        <v>2500</v>
      </c>
      <c r="E35" s="94">
        <v>2500</v>
      </c>
      <c r="F35" s="94">
        <v>2500</v>
      </c>
      <c r="H35" s="93" t="s">
        <v>42</v>
      </c>
      <c r="I35" s="94">
        <v>2500</v>
      </c>
      <c r="J35" s="94">
        <v>2500</v>
      </c>
      <c r="K35" s="94">
        <v>2500</v>
      </c>
      <c r="L35" s="94">
        <v>2500</v>
      </c>
      <c r="N35" s="93" t="s">
        <v>42</v>
      </c>
      <c r="O35" s="94">
        <v>2500</v>
      </c>
      <c r="P35" s="94">
        <v>2500</v>
      </c>
      <c r="Q35" s="94">
        <v>2500</v>
      </c>
      <c r="R35" s="94">
        <v>2500</v>
      </c>
    </row>
    <row r="36" spans="2:18">
      <c r="B36" s="93" t="s">
        <v>27</v>
      </c>
      <c r="C36" s="94">
        <v>1000</v>
      </c>
      <c r="D36" s="94">
        <v>1000</v>
      </c>
      <c r="E36" s="94">
        <v>1000</v>
      </c>
      <c r="F36" s="94">
        <v>1000</v>
      </c>
      <c r="H36" s="93" t="s">
        <v>27</v>
      </c>
      <c r="I36" s="94">
        <v>1000</v>
      </c>
      <c r="J36" s="94">
        <v>1000</v>
      </c>
      <c r="K36" s="94">
        <v>1000</v>
      </c>
      <c r="L36" s="94">
        <v>1000</v>
      </c>
      <c r="N36" s="93" t="s">
        <v>27</v>
      </c>
      <c r="O36" s="94">
        <v>1000</v>
      </c>
      <c r="P36" s="94">
        <v>1000</v>
      </c>
      <c r="Q36" s="94">
        <v>1000</v>
      </c>
      <c r="R36" s="94">
        <v>1000</v>
      </c>
    </row>
    <row r="37" spans="2:18">
      <c r="B37" s="95" t="s">
        <v>176</v>
      </c>
      <c r="C37" s="96">
        <f>SUM(C31:C36)</f>
        <v>48750</v>
      </c>
      <c r="D37" s="96">
        <f>SUM(D31:D36)</f>
        <v>48750</v>
      </c>
      <c r="E37" s="96">
        <f>SUM(E31:E36)</f>
        <v>48750</v>
      </c>
      <c r="F37" s="96">
        <f>SUM(F31:F36)</f>
        <v>48750</v>
      </c>
      <c r="H37" s="95" t="s">
        <v>176</v>
      </c>
      <c r="I37" s="96">
        <f>SUM(I31:I36)</f>
        <v>43750</v>
      </c>
      <c r="J37" s="96">
        <f>SUM(J31:J36)</f>
        <v>43750</v>
      </c>
      <c r="K37" s="96">
        <f>SUM(K31:K36)</f>
        <v>43750</v>
      </c>
      <c r="L37" s="96">
        <f>SUM(L31:L36)</f>
        <v>43750</v>
      </c>
      <c r="N37" s="95" t="s">
        <v>176</v>
      </c>
      <c r="O37" s="96">
        <f>SUM(O31:O36)</f>
        <v>38750</v>
      </c>
      <c r="P37" s="96">
        <f>SUM(P31:P36)</f>
        <v>38750</v>
      </c>
      <c r="Q37" s="96">
        <f>SUM(Q31:Q36)</f>
        <v>38750</v>
      </c>
      <c r="R37" s="96">
        <f>SUM(R31:R36)</f>
        <v>38750</v>
      </c>
    </row>
    <row r="38" spans="2:18">
      <c r="B38" s="88" t="s">
        <v>177</v>
      </c>
      <c r="C38" s="88">
        <f>SUM(C29-C37)</f>
        <v>-31150</v>
      </c>
      <c r="D38" s="88">
        <f>SUM(D29-D37)</f>
        <v>-28216.666666666668</v>
      </c>
      <c r="E38" s="88">
        <f>SUM(E29-E37)</f>
        <v>-25283.333333333332</v>
      </c>
      <c r="F38" s="88">
        <f>SUM(F29-F37)</f>
        <v>-22350</v>
      </c>
      <c r="H38" s="88" t="s">
        <v>177</v>
      </c>
      <c r="I38" s="88">
        <f>SUM(I29-I37)</f>
        <v>-26150</v>
      </c>
      <c r="J38" s="88">
        <f>SUM(J29-J37)</f>
        <v>-23216.666666666668</v>
      </c>
      <c r="K38" s="88">
        <f>SUM(K29-K37)</f>
        <v>-20283.333333333332</v>
      </c>
      <c r="L38" s="88">
        <f>SUM(L29-L37)</f>
        <v>-17350</v>
      </c>
      <c r="N38" s="88" t="s">
        <v>177</v>
      </c>
      <c r="O38" s="88">
        <f>SUM(O29-O37)</f>
        <v>-21150</v>
      </c>
      <c r="P38" s="88">
        <f>SUM(P29-P37)</f>
        <v>-18216.666666666668</v>
      </c>
      <c r="Q38" s="88">
        <f>SUM(Q29-Q37)</f>
        <v>-15283.333333333332</v>
      </c>
      <c r="R38" s="88">
        <f>SUM(R29-R37)</f>
        <v>-12350</v>
      </c>
    </row>
    <row r="39" spans="2:18" ht="15.75" hidden="1" customHeight="1">
      <c r="B39" s="97">
        <f>'[1]Area Festivals'!O99</f>
        <v>0</v>
      </c>
      <c r="C39" s="82">
        <v>0</v>
      </c>
      <c r="D39" s="82">
        <v>0</v>
      </c>
      <c r="E39" s="82">
        <v>0</v>
      </c>
      <c r="F39" s="82">
        <v>0</v>
      </c>
    </row>
    <row r="40" spans="2:18" ht="15.75" hidden="1" customHeight="1">
      <c r="B40" s="98">
        <f>'[1]Area Festivals'!O100</f>
        <v>0</v>
      </c>
      <c r="C40" s="99">
        <f>C116</f>
        <v>396</v>
      </c>
      <c r="D40" s="99">
        <f>D116</f>
        <v>396</v>
      </c>
      <c r="E40" s="99">
        <f>E116</f>
        <v>396</v>
      </c>
      <c r="F40" s="99">
        <f>F116</f>
        <v>396</v>
      </c>
    </row>
    <row r="41" spans="2:18" ht="15.75" hidden="1" customHeight="1">
      <c r="B41" s="98">
        <f>'[1]Area Festivals'!O101</f>
        <v>0</v>
      </c>
      <c r="C41" s="100">
        <v>250</v>
      </c>
      <c r="D41" s="100">
        <v>250</v>
      </c>
      <c r="E41" s="100">
        <v>250</v>
      </c>
      <c r="F41" s="100">
        <v>250</v>
      </c>
    </row>
    <row r="42" spans="2:18" ht="15.75" hidden="1" customHeight="1">
      <c r="B42" s="101">
        <f>'[1]Area Festivals'!O102</f>
        <v>0</v>
      </c>
      <c r="C42" s="100">
        <v>0</v>
      </c>
      <c r="D42" s="100">
        <v>0</v>
      </c>
      <c r="E42" s="100">
        <v>0</v>
      </c>
      <c r="F42" s="100">
        <v>0</v>
      </c>
    </row>
    <row r="43" spans="2:18" ht="15.75" hidden="1" customHeight="1">
      <c r="B43" s="101">
        <f>'[1]Area Festivals'!O103</f>
        <v>0</v>
      </c>
      <c r="C43" s="100">
        <v>50</v>
      </c>
      <c r="D43" s="100">
        <v>50</v>
      </c>
      <c r="E43" s="100">
        <v>50</v>
      </c>
      <c r="F43" s="100">
        <v>50</v>
      </c>
    </row>
    <row r="44" spans="2:18" ht="15.75" hidden="1" customHeight="1">
      <c r="B44" s="101" t="s">
        <v>27</v>
      </c>
      <c r="C44" s="100">
        <v>100</v>
      </c>
      <c r="D44" s="100">
        <v>100</v>
      </c>
      <c r="E44" s="100">
        <v>100</v>
      </c>
      <c r="F44" s="100">
        <v>100</v>
      </c>
    </row>
    <row r="45" spans="2:18" ht="15.75" hidden="1" customHeight="1">
      <c r="B45" s="101"/>
      <c r="C45" s="100"/>
      <c r="D45" s="100"/>
      <c r="E45" s="100"/>
      <c r="F45" s="100"/>
    </row>
    <row r="46" spans="2:18" ht="15.75" hidden="1" customHeight="1">
      <c r="B46" s="82" t="s">
        <v>178</v>
      </c>
      <c r="C46" s="82"/>
      <c r="D46" s="82"/>
      <c r="E46" s="82"/>
      <c r="F46" s="82"/>
    </row>
    <row r="47" spans="2:18" ht="15.75" hidden="1" customHeight="1">
      <c r="B47" s="82">
        <f>'[1]Area Festivals'!O109</f>
        <v>0</v>
      </c>
      <c r="C47" s="82"/>
      <c r="D47" s="82"/>
      <c r="E47" s="82"/>
      <c r="F47" s="82"/>
    </row>
    <row r="48" spans="2:18" ht="15.75" hidden="1" customHeight="1">
      <c r="B48" s="82" t="s">
        <v>179</v>
      </c>
      <c r="C48" s="82">
        <f>+C87</f>
        <v>136</v>
      </c>
      <c r="D48" s="82">
        <f>+D87</f>
        <v>136</v>
      </c>
      <c r="E48" s="82">
        <f>+E87</f>
        <v>136</v>
      </c>
      <c r="F48" s="82">
        <f>+F87</f>
        <v>136</v>
      </c>
    </row>
    <row r="49" spans="2:6" ht="15.75" hidden="1" customHeight="1">
      <c r="B49" s="82"/>
      <c r="C49" s="82"/>
      <c r="D49" s="82"/>
      <c r="E49" s="82"/>
      <c r="F49" s="82"/>
    </row>
    <row r="50" spans="2:6" ht="15.75" hidden="1" customHeight="1">
      <c r="B50" s="82" t="s">
        <v>180</v>
      </c>
      <c r="C50" s="82">
        <v>900</v>
      </c>
      <c r="D50" s="82">
        <v>900</v>
      </c>
      <c r="E50" s="82">
        <v>900</v>
      </c>
      <c r="F50" s="82">
        <v>900</v>
      </c>
    </row>
    <row r="51" spans="2:6" ht="15.75" hidden="1" customHeight="1">
      <c r="B51" s="82">
        <f>'[1]Area Festivals'!O118</f>
        <v>0</v>
      </c>
      <c r="C51" s="82">
        <v>1000</v>
      </c>
      <c r="D51" s="82">
        <v>1000</v>
      </c>
      <c r="E51" s="82">
        <v>1000</v>
      </c>
      <c r="F51" s="82">
        <v>1000</v>
      </c>
    </row>
    <row r="52" spans="2:6" ht="15.75" hidden="1" customHeight="1">
      <c r="B52" s="82">
        <f>'[1]Area Festivals'!O119</f>
        <v>0</v>
      </c>
      <c r="C52" s="82">
        <v>500</v>
      </c>
      <c r="D52" s="82">
        <v>500</v>
      </c>
      <c r="E52" s="82">
        <v>500</v>
      </c>
      <c r="F52" s="82">
        <v>500</v>
      </c>
    </row>
    <row r="53" spans="2:6" ht="15.75" hidden="1" customHeight="1">
      <c r="B53" s="82">
        <f>'[1]Area Festivals'!O121</f>
        <v>0</v>
      </c>
      <c r="C53" s="82">
        <v>50</v>
      </c>
      <c r="D53" s="82">
        <v>50</v>
      </c>
      <c r="E53" s="82">
        <v>50</v>
      </c>
      <c r="F53" s="82">
        <v>50</v>
      </c>
    </row>
    <row r="54" spans="2:6" ht="15.75" hidden="1" customHeight="1">
      <c r="B54" s="82">
        <f>'[1]Area Festivals'!O122</f>
        <v>0</v>
      </c>
      <c r="C54" s="82">
        <v>0</v>
      </c>
      <c r="D54" s="82">
        <v>0</v>
      </c>
      <c r="E54" s="82">
        <v>0</v>
      </c>
      <c r="F54" s="82">
        <v>0</v>
      </c>
    </row>
    <row r="55" spans="2:6" ht="15.75" hidden="1" customHeight="1">
      <c r="B55" s="82">
        <f>'[1]Area Festivals'!O120</f>
        <v>0</v>
      </c>
      <c r="C55" s="102"/>
      <c r="D55" s="102"/>
      <c r="E55" s="102"/>
      <c r="F55" s="102"/>
    </row>
    <row r="56" spans="2:6" ht="15.75" hidden="1" customHeight="1">
      <c r="B56" s="82"/>
      <c r="C56" s="102"/>
      <c r="D56" s="102"/>
      <c r="E56" s="102"/>
      <c r="F56" s="102"/>
    </row>
    <row r="57" spans="2:6" ht="15.75" hidden="1" customHeight="1">
      <c r="B57" s="91" t="s">
        <v>181</v>
      </c>
      <c r="C57" s="89">
        <f>SUM(C39:C56)</f>
        <v>3382</v>
      </c>
      <c r="D57" s="89">
        <f>SUM(D39:D56)</f>
        <v>3382</v>
      </c>
      <c r="E57" s="89">
        <f>SUM(E39:E56)</f>
        <v>3382</v>
      </c>
      <c r="F57" s="89">
        <f>SUM(F39:F56)</f>
        <v>3382</v>
      </c>
    </row>
    <row r="58" spans="2:6" ht="15.75" hidden="1" customHeight="1">
      <c r="B58" s="102"/>
      <c r="C58" s="102"/>
      <c r="D58" s="102"/>
      <c r="E58" s="102"/>
      <c r="F58" s="102"/>
    </row>
    <row r="59" spans="2:6" ht="15.75" hidden="1" customHeight="1">
      <c r="B59" s="103" t="s">
        <v>182</v>
      </c>
      <c r="C59" s="104">
        <f>C29-C57</f>
        <v>14218</v>
      </c>
      <c r="D59" s="104">
        <f>D29-D57</f>
        <v>17151.333333333332</v>
      </c>
      <c r="E59" s="104">
        <f>E29-E57</f>
        <v>20084.666666666668</v>
      </c>
      <c r="F59" s="104">
        <f>F29-F57</f>
        <v>23018</v>
      </c>
    </row>
    <row r="60" spans="2:6" ht="15.75" hidden="1" customHeight="1">
      <c r="B60" s="105"/>
      <c r="C60" s="106"/>
      <c r="D60" s="106"/>
      <c r="E60" s="106"/>
      <c r="F60" s="106"/>
    </row>
    <row r="61" spans="2:6" ht="15.75" hidden="1" customHeight="1">
      <c r="B61" s="107" t="s">
        <v>183</v>
      </c>
      <c r="C61" s="108"/>
      <c r="D61" s="108"/>
      <c r="E61" s="108"/>
      <c r="F61" s="108"/>
    </row>
    <row r="62" spans="2:6" ht="15.75" hidden="1" customHeight="1">
      <c r="B62" s="109" t="s">
        <v>184</v>
      </c>
      <c r="C62" s="110"/>
      <c r="D62" s="110"/>
      <c r="E62" s="110"/>
      <c r="F62" s="110"/>
    </row>
    <row r="63" spans="2:6" ht="15.75" hidden="1" customHeight="1">
      <c r="B63" s="90"/>
      <c r="C63" s="102"/>
      <c r="D63" s="102"/>
      <c r="E63" s="102"/>
      <c r="F63" s="102"/>
    </row>
    <row r="64" spans="2:6" ht="15.75" hidden="1" customHeight="1">
      <c r="B64" s="111"/>
      <c r="C64" s="111"/>
      <c r="D64" s="111"/>
      <c r="E64" s="111"/>
      <c r="F64" s="111"/>
    </row>
    <row r="65" spans="2:6" ht="15.75" hidden="1" customHeight="1">
      <c r="B65" s="90" t="s">
        <v>185</v>
      </c>
      <c r="C65" s="102"/>
      <c r="D65" s="102"/>
      <c r="E65" s="102"/>
      <c r="F65" s="102"/>
    </row>
    <row r="66" spans="2:6" ht="15.75" hidden="1" customHeight="1">
      <c r="B66" s="112" t="s">
        <v>186</v>
      </c>
      <c r="C66" s="113">
        <v>0</v>
      </c>
      <c r="D66" s="113">
        <v>0</v>
      </c>
      <c r="E66" s="113">
        <v>0</v>
      </c>
      <c r="F66" s="113">
        <v>0</v>
      </c>
    </row>
    <row r="67" spans="2:6" ht="15.75" hidden="1" customHeight="1">
      <c r="B67" s="102"/>
      <c r="C67" s="102"/>
      <c r="D67" s="102"/>
      <c r="E67" s="102"/>
      <c r="F67" s="102"/>
    </row>
    <row r="68" spans="2:6" ht="15.75" hidden="1" customHeight="1">
      <c r="B68" s="114" t="s">
        <v>187</v>
      </c>
      <c r="C68" s="102"/>
      <c r="D68" s="102"/>
      <c r="E68" s="102"/>
      <c r="F68" s="102"/>
    </row>
    <row r="69" spans="2:6" ht="15.75" hidden="1" customHeight="1">
      <c r="B69" s="90" t="s">
        <v>188</v>
      </c>
      <c r="C69" s="102"/>
      <c r="D69" s="102"/>
      <c r="E69" s="102"/>
      <c r="F69" s="102"/>
    </row>
    <row r="70" spans="2:6" ht="15.75" hidden="1" customHeight="1">
      <c r="B70" s="102" t="s">
        <v>189</v>
      </c>
      <c r="C70" s="102">
        <f>C26</f>
        <v>21120</v>
      </c>
      <c r="D70" s="102">
        <f>D26</f>
        <v>24640</v>
      </c>
      <c r="E70" s="102">
        <f>E26</f>
        <v>28160</v>
      </c>
      <c r="F70" s="102">
        <f>F26</f>
        <v>31680</v>
      </c>
    </row>
    <row r="71" spans="2:6" ht="15.75" hidden="1" customHeight="1">
      <c r="B71" s="102" t="s">
        <v>190</v>
      </c>
      <c r="C71" s="102">
        <f>-C70*0.013</f>
        <v>-274.56</v>
      </c>
      <c r="D71" s="102">
        <f>-D70*0.013</f>
        <v>-320.32</v>
      </c>
      <c r="E71" s="102">
        <f>-E70*0.013</f>
        <v>-366.08</v>
      </c>
      <c r="F71" s="102">
        <f>-F70*0.013</f>
        <v>-411.84</v>
      </c>
    </row>
    <row r="72" spans="2:6" ht="15.75" hidden="1" customHeight="1">
      <c r="B72" s="102" t="s">
        <v>191</v>
      </c>
      <c r="C72" s="102">
        <f>-C70*0.019</f>
        <v>-401.28</v>
      </c>
      <c r="D72" s="102">
        <f>-D70*0.019</f>
        <v>-468.15999999999997</v>
      </c>
      <c r="E72" s="102">
        <f>-E70*0.019</f>
        <v>-535.04</v>
      </c>
      <c r="F72" s="102">
        <f>-F70*0.019</f>
        <v>-601.91999999999996</v>
      </c>
    </row>
    <row r="73" spans="2:6" ht="15.75" hidden="1" customHeight="1">
      <c r="B73" s="102" t="s">
        <v>192</v>
      </c>
      <c r="C73" s="102">
        <f>+C70+C71+C72+C28</f>
        <v>16924.16</v>
      </c>
      <c r="D73" s="102">
        <f>+D70+D71+D72+D28</f>
        <v>19744.853333333333</v>
      </c>
      <c r="E73" s="102">
        <f>+E70+E71+E72+E28</f>
        <v>22565.546666666665</v>
      </c>
      <c r="F73" s="102">
        <f>+F70+F71+F72+F28</f>
        <v>25386.240000000002</v>
      </c>
    </row>
    <row r="74" spans="2:6" ht="15.75" hidden="1" customHeight="1">
      <c r="B74" s="102" t="s">
        <v>193</v>
      </c>
      <c r="C74" s="102">
        <f>-C73*C66</f>
        <v>0</v>
      </c>
      <c r="D74" s="102">
        <f>-D73*D66</f>
        <v>0</v>
      </c>
      <c r="E74" s="102">
        <f>-E73*E66</f>
        <v>0</v>
      </c>
      <c r="F74" s="102">
        <f>-F73*F66</f>
        <v>0</v>
      </c>
    </row>
    <row r="75" spans="2:6" ht="15.75" hidden="1" customHeight="1">
      <c r="B75" s="102"/>
      <c r="C75" s="102"/>
      <c r="D75" s="102"/>
      <c r="E75" s="102"/>
      <c r="F75" s="102"/>
    </row>
    <row r="76" spans="2:6" ht="15.75" hidden="1" customHeight="1">
      <c r="B76" s="115" t="s">
        <v>194</v>
      </c>
      <c r="C76" s="116"/>
      <c r="D76" s="116"/>
      <c r="E76" s="116"/>
      <c r="F76" s="116"/>
    </row>
    <row r="77" spans="2:6" ht="15.75" hidden="1" customHeight="1">
      <c r="B77" s="117" t="s">
        <v>195</v>
      </c>
      <c r="C77" s="118">
        <v>8</v>
      </c>
      <c r="D77" s="118">
        <v>8</v>
      </c>
      <c r="E77" s="118">
        <v>8</v>
      </c>
      <c r="F77" s="118">
        <v>8</v>
      </c>
    </row>
    <row r="78" spans="2:6" ht="15.75" hidden="1" customHeight="1">
      <c r="B78" s="117" t="s">
        <v>196</v>
      </c>
      <c r="C78" s="119">
        <v>4</v>
      </c>
      <c r="D78" s="119">
        <v>4</v>
      </c>
      <c r="E78" s="119">
        <v>4</v>
      </c>
      <c r="F78" s="119">
        <v>4</v>
      </c>
    </row>
    <row r="79" spans="2:6" ht="15.75" hidden="1" customHeight="1">
      <c r="B79" s="108" t="s">
        <v>197</v>
      </c>
      <c r="C79" s="108">
        <v>2</v>
      </c>
      <c r="D79" s="108">
        <v>2</v>
      </c>
      <c r="E79" s="108">
        <v>2</v>
      </c>
      <c r="F79" s="108">
        <v>2</v>
      </c>
    </row>
    <row r="80" spans="2:6" ht="15.75" hidden="1" customHeight="1">
      <c r="B80" s="120" t="s">
        <v>198</v>
      </c>
      <c r="C80" s="121">
        <f>+C77*C78*C79</f>
        <v>64</v>
      </c>
      <c r="D80" s="121">
        <f>+D77*D78*D79</f>
        <v>64</v>
      </c>
      <c r="E80" s="121">
        <f>+E77*E78*E79</f>
        <v>64</v>
      </c>
      <c r="F80" s="121">
        <f>+F77*F78*F79</f>
        <v>64</v>
      </c>
    </row>
    <row r="81" spans="2:6" ht="15.75" hidden="1" customHeight="1">
      <c r="B81" s="122"/>
      <c r="C81" s="123"/>
      <c r="D81" s="123"/>
      <c r="E81" s="123"/>
      <c r="F81" s="123"/>
    </row>
    <row r="82" spans="2:6" ht="15.75" hidden="1" customHeight="1">
      <c r="B82" s="115" t="s">
        <v>199</v>
      </c>
      <c r="C82" s="116"/>
      <c r="D82" s="116"/>
      <c r="E82" s="116"/>
      <c r="F82" s="116"/>
    </row>
    <row r="83" spans="2:6" ht="15.75" hidden="1" customHeight="1">
      <c r="B83" s="117" t="s">
        <v>200</v>
      </c>
      <c r="C83" s="118">
        <v>12</v>
      </c>
      <c r="D83" s="118">
        <v>12</v>
      </c>
      <c r="E83" s="118">
        <v>12</v>
      </c>
      <c r="F83" s="118">
        <v>12</v>
      </c>
    </row>
    <row r="84" spans="2:6" ht="15.75" hidden="1" customHeight="1">
      <c r="B84" s="117" t="s">
        <v>196</v>
      </c>
      <c r="C84" s="119">
        <f>+C78+2</f>
        <v>6</v>
      </c>
      <c r="D84" s="119">
        <f>+D78+2</f>
        <v>6</v>
      </c>
      <c r="E84" s="119">
        <f>+E78+2</f>
        <v>6</v>
      </c>
      <c r="F84" s="119">
        <f>+F78+2</f>
        <v>6</v>
      </c>
    </row>
    <row r="85" spans="2:6" ht="15.75" hidden="1" customHeight="1">
      <c r="B85" s="120" t="s">
        <v>201</v>
      </c>
      <c r="C85" s="121">
        <f>+C83*C84</f>
        <v>72</v>
      </c>
      <c r="D85" s="121">
        <f>+D83*D84</f>
        <v>72</v>
      </c>
      <c r="E85" s="121">
        <f>+E83*E84</f>
        <v>72</v>
      </c>
      <c r="F85" s="121">
        <f>+F83*F84</f>
        <v>72</v>
      </c>
    </row>
    <row r="86" spans="2:6" ht="15.75" hidden="1" customHeight="1">
      <c r="B86" s="120"/>
      <c r="C86" s="121"/>
      <c r="D86" s="121"/>
      <c r="E86" s="121"/>
      <c r="F86" s="121"/>
    </row>
    <row r="87" spans="2:6" ht="15.75" hidden="1" customHeight="1">
      <c r="B87" s="124" t="s">
        <v>202</v>
      </c>
      <c r="C87" s="125">
        <f>+C80+C85</f>
        <v>136</v>
      </c>
      <c r="D87" s="125">
        <f>+D80+D85</f>
        <v>136</v>
      </c>
      <c r="E87" s="125">
        <f>+E80+E85</f>
        <v>136</v>
      </c>
      <c r="F87" s="125">
        <f>+F80+F85</f>
        <v>136</v>
      </c>
    </row>
    <row r="88" spans="2:6" ht="15.75" hidden="1" customHeight="1">
      <c r="B88" s="123"/>
      <c r="C88" s="123"/>
      <c r="D88" s="123"/>
      <c r="E88" s="123"/>
      <c r="F88" s="123"/>
    </row>
    <row r="89" spans="2:6" ht="15.75" hidden="1" customHeight="1">
      <c r="B89" s="123"/>
      <c r="C89" s="123"/>
      <c r="D89" s="123"/>
      <c r="E89" s="123"/>
      <c r="F89" s="123"/>
    </row>
    <row r="90" spans="2:6" ht="15.75" hidden="1" customHeight="1">
      <c r="B90" s="115" t="s">
        <v>203</v>
      </c>
      <c r="C90" s="116"/>
      <c r="D90" s="116"/>
      <c r="E90" s="116"/>
      <c r="F90" s="116"/>
    </row>
    <row r="91" spans="2:6" ht="15.75" hidden="1" customHeight="1">
      <c r="B91" s="117" t="s">
        <v>195</v>
      </c>
      <c r="C91" s="118">
        <v>10</v>
      </c>
      <c r="D91" s="118">
        <v>10</v>
      </c>
      <c r="E91" s="118">
        <v>10</v>
      </c>
      <c r="F91" s="118">
        <v>10</v>
      </c>
    </row>
    <row r="92" spans="2:6" ht="15.75" hidden="1" customHeight="1">
      <c r="B92" s="117" t="s">
        <v>196</v>
      </c>
      <c r="C92" s="119">
        <v>12.5</v>
      </c>
      <c r="D92" s="119">
        <v>12.5</v>
      </c>
      <c r="E92" s="119">
        <v>12.5</v>
      </c>
      <c r="F92" s="119">
        <v>12.5</v>
      </c>
    </row>
    <row r="93" spans="2:6" ht="15.75" hidden="1" customHeight="1">
      <c r="B93" s="108" t="s">
        <v>197</v>
      </c>
      <c r="C93" s="108">
        <v>2</v>
      </c>
      <c r="D93" s="108">
        <v>2</v>
      </c>
      <c r="E93" s="108">
        <v>2</v>
      </c>
      <c r="F93" s="108">
        <v>2</v>
      </c>
    </row>
    <row r="94" spans="2:6" ht="15.75" hidden="1" customHeight="1">
      <c r="B94" s="120" t="s">
        <v>198</v>
      </c>
      <c r="C94" s="121">
        <f>+C91*C92*C93</f>
        <v>250</v>
      </c>
      <c r="D94" s="121">
        <f>+D91*D92*D93</f>
        <v>250</v>
      </c>
      <c r="E94" s="121">
        <f>+E91*E92*E93</f>
        <v>250</v>
      </c>
      <c r="F94" s="121">
        <f>+F91*F92*F93</f>
        <v>250</v>
      </c>
    </row>
    <row r="95" spans="2:6" ht="15.75" hidden="1" customHeight="1">
      <c r="B95" s="122"/>
      <c r="C95" s="123"/>
      <c r="D95" s="123"/>
      <c r="E95" s="123"/>
      <c r="F95" s="123"/>
    </row>
    <row r="96" spans="2:6" ht="15.75" hidden="1" customHeight="1">
      <c r="B96" s="124" t="s">
        <v>204</v>
      </c>
      <c r="C96" s="125">
        <f>+C94</f>
        <v>250</v>
      </c>
      <c r="D96" s="125">
        <f>+D94</f>
        <v>250</v>
      </c>
      <c r="E96" s="125">
        <f>+E94</f>
        <v>250</v>
      </c>
      <c r="F96" s="125">
        <f>+F94</f>
        <v>250</v>
      </c>
    </row>
    <row r="97" spans="2:6" ht="15.75" hidden="1" customHeight="1">
      <c r="B97" s="126"/>
      <c r="C97" s="127"/>
      <c r="D97" s="127"/>
      <c r="E97" s="127"/>
      <c r="F97" s="127"/>
    </row>
    <row r="98" spans="2:6" ht="15.75" hidden="1" customHeight="1">
      <c r="B98" s="126" t="s">
        <v>178</v>
      </c>
      <c r="C98" s="127"/>
      <c r="D98" s="127"/>
      <c r="E98" s="127"/>
      <c r="F98" s="127"/>
    </row>
    <row r="99" spans="2:6" ht="15.75" hidden="1" customHeight="1">
      <c r="B99" s="97" t="s">
        <v>205</v>
      </c>
      <c r="C99" s="128">
        <v>0.5</v>
      </c>
      <c r="D99" s="128">
        <v>0.5</v>
      </c>
      <c r="E99" s="128">
        <v>0.5</v>
      </c>
      <c r="F99" s="128">
        <v>0.5</v>
      </c>
    </row>
    <row r="100" spans="2:6" ht="15.75" hidden="1" customHeight="1">
      <c r="B100" s="97" t="s">
        <v>200</v>
      </c>
      <c r="C100" s="127">
        <v>200</v>
      </c>
      <c r="D100" s="127">
        <v>200</v>
      </c>
      <c r="E100" s="127">
        <v>200</v>
      </c>
      <c r="F100" s="127">
        <v>200</v>
      </c>
    </row>
    <row r="101" spans="2:6" ht="15.75" hidden="1" customHeight="1">
      <c r="B101" s="124" t="s">
        <v>206</v>
      </c>
      <c r="C101" s="125">
        <f>+C99*C100</f>
        <v>100</v>
      </c>
      <c r="D101" s="125">
        <f>+D99*D100</f>
        <v>100</v>
      </c>
      <c r="E101" s="125">
        <f>+E99*E100</f>
        <v>100</v>
      </c>
      <c r="F101" s="125">
        <f>+F99*F100</f>
        <v>100</v>
      </c>
    </row>
    <row r="102" spans="2:6" ht="15.75" hidden="1" customHeight="1">
      <c r="B102" s="126"/>
      <c r="C102" s="127"/>
      <c r="D102" s="127"/>
      <c r="E102" s="127"/>
      <c r="F102" s="127"/>
    </row>
    <row r="103" spans="2:6" ht="15.75" hidden="1" customHeight="1">
      <c r="B103" s="126"/>
      <c r="C103" s="127"/>
      <c r="D103" s="127"/>
      <c r="E103" s="127"/>
      <c r="F103" s="127"/>
    </row>
    <row r="104" spans="2:6" ht="15.75" hidden="1" customHeight="1">
      <c r="B104" s="126" t="s">
        <v>180</v>
      </c>
      <c r="C104" s="127"/>
      <c r="D104" s="127"/>
      <c r="E104" s="127"/>
      <c r="F104" s="127"/>
    </row>
    <row r="105" spans="2:6" ht="15.75" hidden="1" customHeight="1">
      <c r="B105" s="97" t="s">
        <v>205</v>
      </c>
      <c r="C105" s="128">
        <v>0.5</v>
      </c>
      <c r="D105" s="128">
        <v>0.5</v>
      </c>
      <c r="E105" s="128">
        <v>0.5</v>
      </c>
      <c r="F105" s="128">
        <v>0.5</v>
      </c>
    </row>
    <row r="106" spans="2:6" ht="15.75" hidden="1" customHeight="1">
      <c r="B106" s="97" t="s">
        <v>200</v>
      </c>
      <c r="C106" s="127">
        <v>200</v>
      </c>
      <c r="D106" s="127">
        <v>200</v>
      </c>
      <c r="E106" s="127">
        <v>200</v>
      </c>
      <c r="F106" s="127">
        <v>200</v>
      </c>
    </row>
    <row r="107" spans="2:6" ht="16.5" hidden="1" customHeight="1" thickBot="1">
      <c r="B107" s="124" t="s">
        <v>206</v>
      </c>
      <c r="C107" s="129">
        <f>+C105*C106</f>
        <v>100</v>
      </c>
      <c r="D107" s="129">
        <f>+D105*D106</f>
        <v>100</v>
      </c>
      <c r="E107" s="129">
        <f>+E105*E106</f>
        <v>100</v>
      </c>
      <c r="F107" s="129">
        <f>+F105*F106</f>
        <v>100</v>
      </c>
    </row>
    <row r="108" spans="2:6" ht="15.75" hidden="1" customHeight="1">
      <c r="C108" s="130"/>
      <c r="D108" s="130"/>
      <c r="E108" s="130"/>
      <c r="F108" s="130"/>
    </row>
    <row r="109" spans="2:6" ht="15.75" hidden="1" customHeight="1">
      <c r="B109" s="131" t="s">
        <v>207</v>
      </c>
      <c r="C109" s="132"/>
      <c r="D109" s="132"/>
      <c r="E109" s="132"/>
      <c r="F109" s="132"/>
    </row>
    <row r="110" spans="2:6" ht="15.75" hidden="1" customHeight="1">
      <c r="B110" s="55" t="s">
        <v>208</v>
      </c>
      <c r="C110" s="133">
        <v>136</v>
      </c>
      <c r="D110" s="133">
        <v>136</v>
      </c>
      <c r="E110" s="133">
        <v>136</v>
      </c>
      <c r="F110" s="133">
        <v>136</v>
      </c>
    </row>
    <row r="111" spans="2:6" ht="15.75" hidden="1" customHeight="1">
      <c r="B111" s="55" t="s">
        <v>209</v>
      </c>
      <c r="C111" s="133">
        <v>260</v>
      </c>
      <c r="D111" s="133">
        <v>260</v>
      </c>
      <c r="E111" s="133">
        <v>260</v>
      </c>
      <c r="F111" s="133">
        <v>260</v>
      </c>
    </row>
    <row r="112" spans="2:6" ht="15.75" hidden="1" customHeight="1">
      <c r="B112" s="55" t="s">
        <v>210</v>
      </c>
      <c r="C112" s="132">
        <v>0</v>
      </c>
      <c r="D112" s="132">
        <v>0</v>
      </c>
      <c r="E112" s="132">
        <v>0</v>
      </c>
      <c r="F112" s="132">
        <v>0</v>
      </c>
    </row>
    <row r="113" spans="2:18" ht="15.75" hidden="1" customHeight="1">
      <c r="B113" s="55" t="s">
        <v>211</v>
      </c>
      <c r="C113" s="132">
        <v>0</v>
      </c>
      <c r="D113" s="132">
        <v>0</v>
      </c>
      <c r="E113" s="132">
        <v>0</v>
      </c>
      <c r="F113" s="132">
        <v>0</v>
      </c>
    </row>
    <row r="114" spans="2:18" ht="15.75" hidden="1" customHeight="1">
      <c r="B114" s="55" t="s">
        <v>212</v>
      </c>
      <c r="C114" s="132">
        <v>0</v>
      </c>
      <c r="D114" s="132">
        <v>0</v>
      </c>
      <c r="E114" s="132">
        <v>0</v>
      </c>
      <c r="F114" s="132">
        <v>0</v>
      </c>
    </row>
    <row r="115" spans="2:18" ht="15.75" hidden="1" customHeight="1">
      <c r="B115" s="55" t="s">
        <v>213</v>
      </c>
      <c r="C115" s="132">
        <v>0</v>
      </c>
      <c r="D115" s="132">
        <v>0</v>
      </c>
      <c r="E115" s="132">
        <v>0</v>
      </c>
      <c r="F115" s="132">
        <v>0</v>
      </c>
    </row>
    <row r="116" spans="2:18" ht="15.75" hidden="1" customHeight="1">
      <c r="B116" s="134" t="s">
        <v>207</v>
      </c>
      <c r="C116" s="135">
        <f>SUM(C110:C115)</f>
        <v>396</v>
      </c>
      <c r="D116" s="135">
        <f>SUM(D110:D115)</f>
        <v>396</v>
      </c>
      <c r="E116" s="135">
        <f>SUM(E110:E115)</f>
        <v>396</v>
      </c>
      <c r="F116" s="135">
        <f>SUM(F110:F115)</f>
        <v>396</v>
      </c>
    </row>
    <row r="117" spans="2:18" ht="15.75" hidden="1" customHeight="1"/>
    <row r="119" spans="2:18" ht="16.5" thickBot="1">
      <c r="B119" s="136"/>
      <c r="C119"/>
      <c r="D119"/>
      <c r="E119"/>
      <c r="F119"/>
    </row>
    <row r="120" spans="2:18">
      <c r="B120" s="149" t="s">
        <v>214</v>
      </c>
      <c r="C120" s="56" t="s">
        <v>28</v>
      </c>
      <c r="D120" s="57" t="s">
        <v>28</v>
      </c>
      <c r="E120" s="57" t="s">
        <v>28</v>
      </c>
      <c r="F120" s="57" t="s">
        <v>28</v>
      </c>
      <c r="H120" s="149" t="s">
        <v>215</v>
      </c>
      <c r="I120" s="56" t="s">
        <v>28</v>
      </c>
      <c r="J120" s="57" t="s">
        <v>28</v>
      </c>
      <c r="K120" s="57" t="s">
        <v>28</v>
      </c>
      <c r="L120" s="57" t="s">
        <v>28</v>
      </c>
      <c r="N120" s="149" t="s">
        <v>215</v>
      </c>
      <c r="O120" s="56" t="s">
        <v>28</v>
      </c>
      <c r="P120" s="57" t="s">
        <v>28</v>
      </c>
      <c r="Q120" s="57" t="s">
        <v>28</v>
      </c>
      <c r="R120" s="57" t="s">
        <v>28</v>
      </c>
    </row>
    <row r="121" spans="2:18" ht="16.5" thickBot="1">
      <c r="B121" s="150"/>
      <c r="C121" s="58"/>
      <c r="D121" s="59"/>
      <c r="E121" s="59"/>
      <c r="F121" s="59"/>
      <c r="H121" s="150"/>
      <c r="I121" s="58"/>
      <c r="J121" s="59"/>
      <c r="K121" s="59"/>
      <c r="L121" s="59"/>
      <c r="N121" s="150"/>
      <c r="O121" s="58"/>
      <c r="P121" s="59"/>
      <c r="Q121" s="59"/>
      <c r="R121" s="59"/>
    </row>
    <row r="122" spans="2:18">
      <c r="B122" s="60" t="s">
        <v>144</v>
      </c>
      <c r="C122" s="61" t="s">
        <v>25</v>
      </c>
      <c r="D122" s="61" t="s">
        <v>25</v>
      </c>
      <c r="E122" s="61" t="s">
        <v>25</v>
      </c>
      <c r="F122" s="61" t="s">
        <v>25</v>
      </c>
      <c r="H122" s="60" t="s">
        <v>144</v>
      </c>
      <c r="I122" s="61" t="s">
        <v>25</v>
      </c>
      <c r="J122" s="61" t="s">
        <v>25</v>
      </c>
      <c r="K122" s="61" t="s">
        <v>25</v>
      </c>
      <c r="L122" s="61" t="s">
        <v>25</v>
      </c>
      <c r="N122" s="60" t="s">
        <v>144</v>
      </c>
      <c r="O122" s="61" t="s">
        <v>25</v>
      </c>
      <c r="P122" s="61" t="s">
        <v>25</v>
      </c>
      <c r="Q122" s="61" t="s">
        <v>25</v>
      </c>
      <c r="R122" s="61" t="s">
        <v>25</v>
      </c>
    </row>
    <row r="123" spans="2:18">
      <c r="B123" s="60" t="s">
        <v>145</v>
      </c>
      <c r="C123" s="61" t="s">
        <v>146</v>
      </c>
      <c r="D123" s="61" t="s">
        <v>146</v>
      </c>
      <c r="E123" s="61" t="s">
        <v>146</v>
      </c>
      <c r="F123" s="61" t="s">
        <v>146</v>
      </c>
      <c r="H123" s="60" t="s">
        <v>145</v>
      </c>
      <c r="I123" s="61" t="s">
        <v>146</v>
      </c>
      <c r="J123" s="61" t="s">
        <v>146</v>
      </c>
      <c r="K123" s="61" t="s">
        <v>146</v>
      </c>
      <c r="L123" s="61" t="s">
        <v>146</v>
      </c>
      <c r="N123" s="60" t="s">
        <v>145</v>
      </c>
      <c r="O123" s="61" t="s">
        <v>146</v>
      </c>
      <c r="P123" s="61" t="s">
        <v>146</v>
      </c>
      <c r="Q123" s="61" t="s">
        <v>146</v>
      </c>
      <c r="R123" s="61" t="s">
        <v>146</v>
      </c>
    </row>
    <row r="124" spans="2:18">
      <c r="B124" s="60" t="s">
        <v>147</v>
      </c>
      <c r="C124" s="62" t="s">
        <v>148</v>
      </c>
      <c r="D124" s="62" t="s">
        <v>148</v>
      </c>
      <c r="E124" s="62" t="s">
        <v>148</v>
      </c>
      <c r="F124" s="62" t="s">
        <v>148</v>
      </c>
      <c r="H124" s="60" t="s">
        <v>147</v>
      </c>
      <c r="I124" s="62" t="s">
        <v>148</v>
      </c>
      <c r="J124" s="62" t="s">
        <v>148</v>
      </c>
      <c r="K124" s="62" t="s">
        <v>148</v>
      </c>
      <c r="L124" s="62" t="s">
        <v>148</v>
      </c>
      <c r="N124" s="60" t="s">
        <v>147</v>
      </c>
      <c r="O124" s="62" t="s">
        <v>148</v>
      </c>
      <c r="P124" s="62" t="s">
        <v>148</v>
      </c>
      <c r="Q124" s="62" t="s">
        <v>148</v>
      </c>
      <c r="R124" s="62" t="s">
        <v>148</v>
      </c>
    </row>
    <row r="125" spans="2:18">
      <c r="B125" s="60" t="s">
        <v>149</v>
      </c>
      <c r="C125" s="63" t="s">
        <v>150</v>
      </c>
      <c r="D125" s="63" t="s">
        <v>150</v>
      </c>
      <c r="E125" s="63" t="s">
        <v>150</v>
      </c>
      <c r="F125" s="63" t="s">
        <v>150</v>
      </c>
      <c r="H125" s="60" t="s">
        <v>149</v>
      </c>
      <c r="I125" s="63" t="s">
        <v>150</v>
      </c>
      <c r="J125" s="63" t="s">
        <v>150</v>
      </c>
      <c r="K125" s="63" t="s">
        <v>150</v>
      </c>
      <c r="L125" s="63" t="s">
        <v>150</v>
      </c>
      <c r="N125" s="60" t="s">
        <v>149</v>
      </c>
      <c r="O125" s="63" t="s">
        <v>150</v>
      </c>
      <c r="P125" s="63" t="s">
        <v>150</v>
      </c>
      <c r="Q125" s="63" t="s">
        <v>150</v>
      </c>
      <c r="R125" s="63" t="s">
        <v>150</v>
      </c>
    </row>
    <row r="126" spans="2:18">
      <c r="B126" s="60" t="s">
        <v>151</v>
      </c>
      <c r="C126" s="63" t="s">
        <v>152</v>
      </c>
      <c r="D126" s="63" t="s">
        <v>152</v>
      </c>
      <c r="E126" s="63" t="s">
        <v>152</v>
      </c>
      <c r="F126" s="63" t="s">
        <v>152</v>
      </c>
      <c r="H126" s="60" t="s">
        <v>151</v>
      </c>
      <c r="I126" s="63" t="s">
        <v>152</v>
      </c>
      <c r="J126" s="63" t="s">
        <v>152</v>
      </c>
      <c r="K126" s="63" t="s">
        <v>152</v>
      </c>
      <c r="L126" s="63" t="s">
        <v>152</v>
      </c>
      <c r="N126" s="60" t="s">
        <v>151</v>
      </c>
      <c r="O126" s="63" t="s">
        <v>152</v>
      </c>
      <c r="P126" s="63" t="s">
        <v>152</v>
      </c>
      <c r="Q126" s="63" t="s">
        <v>152</v>
      </c>
      <c r="R126" s="63" t="s">
        <v>152</v>
      </c>
    </row>
    <row r="127" spans="2:18">
      <c r="B127" s="60" t="s">
        <v>153</v>
      </c>
      <c r="C127" s="64"/>
      <c r="D127" s="64"/>
      <c r="E127" s="64"/>
      <c r="F127" s="64"/>
      <c r="H127" s="60" t="s">
        <v>153</v>
      </c>
      <c r="I127" s="64"/>
      <c r="J127" s="64"/>
      <c r="K127" s="64"/>
      <c r="L127" s="64"/>
      <c r="N127" s="60" t="s">
        <v>153</v>
      </c>
      <c r="O127" s="64"/>
      <c r="P127" s="64"/>
      <c r="Q127" s="64"/>
      <c r="R127" s="64"/>
    </row>
    <row r="128" spans="2:18">
      <c r="B128" s="65" t="s">
        <v>154</v>
      </c>
      <c r="C128" s="66"/>
      <c r="D128" s="66"/>
      <c r="E128" s="66"/>
      <c r="F128" s="66"/>
      <c r="H128" s="65" t="s">
        <v>154</v>
      </c>
      <c r="I128" s="66"/>
      <c r="J128" s="66"/>
      <c r="K128" s="66"/>
      <c r="L128" s="66"/>
      <c r="N128" s="65" t="s">
        <v>154</v>
      </c>
      <c r="O128" s="66"/>
      <c r="P128" s="66"/>
      <c r="Q128" s="66"/>
      <c r="R128" s="66"/>
    </row>
    <row r="129" spans="2:18">
      <c r="B129" s="67" t="s">
        <v>155</v>
      </c>
      <c r="C129" s="68"/>
      <c r="D129" s="68"/>
      <c r="E129" s="68"/>
      <c r="F129" s="68"/>
      <c r="H129" s="67" t="s">
        <v>155</v>
      </c>
      <c r="I129" s="68"/>
      <c r="J129" s="68"/>
      <c r="K129" s="68"/>
      <c r="L129" s="68"/>
      <c r="N129" s="67" t="s">
        <v>155</v>
      </c>
      <c r="O129" s="68"/>
      <c r="P129" s="68"/>
      <c r="Q129" s="68"/>
      <c r="R129" s="68"/>
    </row>
    <row r="130" spans="2:18">
      <c r="B130" s="69" t="s">
        <v>156</v>
      </c>
      <c r="C130" s="70">
        <v>1100</v>
      </c>
      <c r="D130" s="70">
        <v>1100</v>
      </c>
      <c r="E130" s="70">
        <v>1100</v>
      </c>
      <c r="F130" s="70">
        <v>1100</v>
      </c>
      <c r="H130" s="69" t="s">
        <v>156</v>
      </c>
      <c r="I130" s="70">
        <v>1100</v>
      </c>
      <c r="J130" s="70">
        <v>1100</v>
      </c>
      <c r="K130" s="70">
        <v>1100</v>
      </c>
      <c r="L130" s="70">
        <v>1100</v>
      </c>
      <c r="N130" s="69" t="s">
        <v>156</v>
      </c>
      <c r="O130" s="70">
        <v>1100</v>
      </c>
      <c r="P130" s="70">
        <v>1100</v>
      </c>
      <c r="Q130" s="70">
        <v>1100</v>
      </c>
      <c r="R130" s="70">
        <v>1100</v>
      </c>
    </row>
    <row r="131" spans="2:18">
      <c r="B131" s="71" t="s">
        <v>157</v>
      </c>
      <c r="C131" s="72">
        <v>0.6</v>
      </c>
      <c r="D131" s="72">
        <v>0.7</v>
      </c>
      <c r="E131" s="72">
        <v>0.8</v>
      </c>
      <c r="F131" s="72">
        <v>0.9</v>
      </c>
      <c r="H131" s="71" t="s">
        <v>157</v>
      </c>
      <c r="I131" s="72">
        <v>0.6</v>
      </c>
      <c r="J131" s="72">
        <v>0.7</v>
      </c>
      <c r="K131" s="72">
        <v>0.8</v>
      </c>
      <c r="L131" s="72">
        <v>0.9</v>
      </c>
      <c r="N131" s="71" t="s">
        <v>157</v>
      </c>
      <c r="O131" s="72">
        <v>0.6</v>
      </c>
      <c r="P131" s="72">
        <v>0.7</v>
      </c>
      <c r="Q131" s="72">
        <v>0.8</v>
      </c>
      <c r="R131" s="72">
        <v>0.9</v>
      </c>
    </row>
    <row r="132" spans="2:18">
      <c r="B132" s="71" t="s">
        <v>158</v>
      </c>
      <c r="C132" s="73">
        <f>+C130*C131</f>
        <v>660</v>
      </c>
      <c r="D132" s="73">
        <f>+D130*D131</f>
        <v>770</v>
      </c>
      <c r="E132" s="73">
        <f>+E130*E131</f>
        <v>880</v>
      </c>
      <c r="F132" s="73">
        <f>+F130*F131</f>
        <v>990</v>
      </c>
      <c r="H132" s="71" t="s">
        <v>158</v>
      </c>
      <c r="I132" s="73">
        <f>+I130*I131</f>
        <v>660</v>
      </c>
      <c r="J132" s="73">
        <f>+J130*J131</f>
        <v>770</v>
      </c>
      <c r="K132" s="73">
        <f>+K130*K131</f>
        <v>880</v>
      </c>
      <c r="L132" s="73">
        <f>+L130*L131</f>
        <v>990</v>
      </c>
      <c r="N132" s="71" t="s">
        <v>158</v>
      </c>
      <c r="O132" s="73">
        <f>+O130*O131</f>
        <v>660</v>
      </c>
      <c r="P132" s="73">
        <f>+P130*P131</f>
        <v>770</v>
      </c>
      <c r="Q132" s="73">
        <f>+Q130*Q131</f>
        <v>880</v>
      </c>
      <c r="R132" s="73">
        <f>+R130*R131</f>
        <v>990</v>
      </c>
    </row>
    <row r="133" spans="2:18">
      <c r="B133" s="74" t="s">
        <v>159</v>
      </c>
      <c r="C133" s="72">
        <v>0.7</v>
      </c>
      <c r="D133" s="72">
        <v>0.7</v>
      </c>
      <c r="E133" s="72">
        <v>0.7</v>
      </c>
      <c r="F133" s="72">
        <v>0.7</v>
      </c>
      <c r="H133" s="74" t="s">
        <v>159</v>
      </c>
      <c r="I133" s="72">
        <v>0.7</v>
      </c>
      <c r="J133" s="72">
        <v>0.7</v>
      </c>
      <c r="K133" s="72">
        <v>0.7</v>
      </c>
      <c r="L133" s="72">
        <v>0.7</v>
      </c>
      <c r="N133" s="74" t="s">
        <v>159</v>
      </c>
      <c r="O133" s="72">
        <v>0.7</v>
      </c>
      <c r="P133" s="72">
        <v>0.7</v>
      </c>
      <c r="Q133" s="72">
        <v>0.7</v>
      </c>
      <c r="R133" s="72">
        <v>0.7</v>
      </c>
    </row>
    <row r="134" spans="2:18">
      <c r="B134" s="74" t="s">
        <v>160</v>
      </c>
      <c r="C134" s="75">
        <f>+C132*C133</f>
        <v>461.99999999999994</v>
      </c>
      <c r="D134" s="75">
        <f>+D132*D133</f>
        <v>539</v>
      </c>
      <c r="E134" s="75">
        <f>+E132*E133</f>
        <v>616</v>
      </c>
      <c r="F134" s="75">
        <f>+F132*F133</f>
        <v>693</v>
      </c>
      <c r="H134" s="74" t="s">
        <v>160</v>
      </c>
      <c r="I134" s="75">
        <f>+I132*I133</f>
        <v>461.99999999999994</v>
      </c>
      <c r="J134" s="75">
        <f>+J132*J133</f>
        <v>539</v>
      </c>
      <c r="K134" s="75">
        <f>+K132*K133</f>
        <v>616</v>
      </c>
      <c r="L134" s="75">
        <f>+L132*L133</f>
        <v>693</v>
      </c>
      <c r="N134" s="74" t="s">
        <v>160</v>
      </c>
      <c r="O134" s="75">
        <f>+O132*O133</f>
        <v>461.99999999999994</v>
      </c>
      <c r="P134" s="75">
        <f>+P132*P133</f>
        <v>539</v>
      </c>
      <c r="Q134" s="75">
        <f>+Q132*Q133</f>
        <v>616</v>
      </c>
      <c r="R134" s="75">
        <f>+R132*R133</f>
        <v>693</v>
      </c>
    </row>
    <row r="135" spans="2:18">
      <c r="B135" s="74" t="s">
        <v>161</v>
      </c>
      <c r="C135" s="76">
        <v>39</v>
      </c>
      <c r="D135" s="76">
        <v>39</v>
      </c>
      <c r="E135" s="76">
        <v>39</v>
      </c>
      <c r="F135" s="76">
        <v>39</v>
      </c>
      <c r="H135" s="74" t="s">
        <v>161</v>
      </c>
      <c r="I135" s="76">
        <v>39</v>
      </c>
      <c r="J135" s="76">
        <v>39</v>
      </c>
      <c r="K135" s="76">
        <v>39</v>
      </c>
      <c r="L135" s="76">
        <v>39</v>
      </c>
      <c r="N135" s="74" t="s">
        <v>161</v>
      </c>
      <c r="O135" s="76">
        <v>39</v>
      </c>
      <c r="P135" s="76">
        <v>39</v>
      </c>
      <c r="Q135" s="76">
        <v>39</v>
      </c>
      <c r="R135" s="76">
        <v>39</v>
      </c>
    </row>
    <row r="136" spans="2:18">
      <c r="B136" s="74" t="s">
        <v>162</v>
      </c>
      <c r="C136" s="77">
        <f>1-C133</f>
        <v>0.30000000000000004</v>
      </c>
      <c r="D136" s="77">
        <f>1-D133</f>
        <v>0.30000000000000004</v>
      </c>
      <c r="E136" s="77">
        <f>1-E133</f>
        <v>0.30000000000000004</v>
      </c>
      <c r="F136" s="77">
        <f>1-F133</f>
        <v>0.30000000000000004</v>
      </c>
      <c r="H136" s="74" t="s">
        <v>162</v>
      </c>
      <c r="I136" s="77">
        <f>1-I133</f>
        <v>0.30000000000000004</v>
      </c>
      <c r="J136" s="77">
        <f>1-J133</f>
        <v>0.30000000000000004</v>
      </c>
      <c r="K136" s="77">
        <f>1-K133</f>
        <v>0.30000000000000004</v>
      </c>
      <c r="L136" s="77">
        <f>1-L133</f>
        <v>0.30000000000000004</v>
      </c>
      <c r="N136" s="74" t="s">
        <v>162</v>
      </c>
      <c r="O136" s="77">
        <f>1-O133</f>
        <v>0.30000000000000004</v>
      </c>
      <c r="P136" s="77">
        <f>1-P133</f>
        <v>0.30000000000000004</v>
      </c>
      <c r="Q136" s="77">
        <f>1-Q133</f>
        <v>0.30000000000000004</v>
      </c>
      <c r="R136" s="77">
        <f>1-R133</f>
        <v>0.30000000000000004</v>
      </c>
    </row>
    <row r="137" spans="2:18">
      <c r="B137" s="74" t="s">
        <v>163</v>
      </c>
      <c r="C137" s="78">
        <f>+C136*C132</f>
        <v>198.00000000000003</v>
      </c>
      <c r="D137" s="78">
        <f>+D136*D132</f>
        <v>231.00000000000003</v>
      </c>
      <c r="E137" s="78">
        <f>+E136*E132</f>
        <v>264.00000000000006</v>
      </c>
      <c r="F137" s="78">
        <f>+F136*F132</f>
        <v>297.00000000000006</v>
      </c>
      <c r="H137" s="74" t="s">
        <v>163</v>
      </c>
      <c r="I137" s="78">
        <f>+I136*I132</f>
        <v>198.00000000000003</v>
      </c>
      <c r="J137" s="78">
        <f>+J136*J132</f>
        <v>231.00000000000003</v>
      </c>
      <c r="K137" s="78">
        <f>+K136*K132</f>
        <v>264.00000000000006</v>
      </c>
      <c r="L137" s="78">
        <f>+L136*L132</f>
        <v>297.00000000000006</v>
      </c>
      <c r="N137" s="74" t="s">
        <v>163</v>
      </c>
      <c r="O137" s="78">
        <f>+O136*O132</f>
        <v>198.00000000000003</v>
      </c>
      <c r="P137" s="78">
        <f>+P136*P132</f>
        <v>231.00000000000003</v>
      </c>
      <c r="Q137" s="78">
        <f>+Q136*Q132</f>
        <v>264.00000000000006</v>
      </c>
      <c r="R137" s="78">
        <f>+R136*R132</f>
        <v>297.00000000000006</v>
      </c>
    </row>
    <row r="138" spans="2:18">
      <c r="B138" s="74" t="s">
        <v>164</v>
      </c>
      <c r="C138" s="76">
        <v>29</v>
      </c>
      <c r="D138" s="76">
        <v>29</v>
      </c>
      <c r="E138" s="76">
        <v>29</v>
      </c>
      <c r="F138" s="76">
        <v>29</v>
      </c>
      <c r="H138" s="74" t="s">
        <v>164</v>
      </c>
      <c r="I138" s="76">
        <v>29</v>
      </c>
      <c r="J138" s="76">
        <v>29</v>
      </c>
      <c r="K138" s="76">
        <v>29</v>
      </c>
      <c r="L138" s="76">
        <v>29</v>
      </c>
      <c r="N138" s="74" t="s">
        <v>164</v>
      </c>
      <c r="O138" s="76">
        <v>29</v>
      </c>
      <c r="P138" s="76">
        <v>29</v>
      </c>
      <c r="Q138" s="76">
        <v>29</v>
      </c>
      <c r="R138" s="76">
        <v>29</v>
      </c>
    </row>
    <row r="139" spans="2:18">
      <c r="B139" s="79" t="s">
        <v>165</v>
      </c>
      <c r="C139" s="80">
        <f>+(C137*C138)+(C134*C135)</f>
        <v>23759.999999999996</v>
      </c>
      <c r="D139" s="80">
        <f>+(D137*D138)+(D134*D135)</f>
        <v>27720</v>
      </c>
      <c r="E139" s="80">
        <f>+(E137*E138)+(E134*E135)</f>
        <v>31680</v>
      </c>
      <c r="F139" s="80">
        <f>+(F137*F138)+(F134*F135)</f>
        <v>35640</v>
      </c>
      <c r="H139" s="79" t="s">
        <v>165</v>
      </c>
      <c r="I139" s="80">
        <f>+(I137*I138)+(I134*I135)</f>
        <v>23759.999999999996</v>
      </c>
      <c r="J139" s="80">
        <f>+(J137*J138)+(J134*J135)</f>
        <v>27720</v>
      </c>
      <c r="K139" s="80">
        <f>+(K137*K138)+(K134*K135)</f>
        <v>31680</v>
      </c>
      <c r="L139" s="80">
        <f>+(L137*L138)+(L134*L135)</f>
        <v>35640</v>
      </c>
      <c r="N139" s="79" t="s">
        <v>165</v>
      </c>
      <c r="O139" s="80">
        <f>+(O137*O138)+(O134*O135)</f>
        <v>23759.999999999996</v>
      </c>
      <c r="P139" s="80">
        <f>+(P137*P138)+(P134*P135)</f>
        <v>27720</v>
      </c>
      <c r="Q139" s="80">
        <f>+(Q137*Q138)+(Q134*Q135)</f>
        <v>31680</v>
      </c>
      <c r="R139" s="80">
        <f>+(R137*R138)+(R134*R135)</f>
        <v>35640</v>
      </c>
    </row>
    <row r="140" spans="2:18">
      <c r="B140" s="71" t="s">
        <v>166</v>
      </c>
      <c r="C140" s="81">
        <f>+IF(C139=0,0,C139/(C134+C137))</f>
        <v>35.999999999999993</v>
      </c>
      <c r="D140" s="81">
        <f>+IF(D139=0,0,D139/(D134+D137))</f>
        <v>36</v>
      </c>
      <c r="E140" s="81">
        <f>+IF(E139=0,0,E139/(E134+E137))</f>
        <v>36</v>
      </c>
      <c r="F140" s="81">
        <f>+IF(F139=0,0,F139/(F134+F137))</f>
        <v>36</v>
      </c>
      <c r="H140" s="71" t="s">
        <v>166</v>
      </c>
      <c r="I140" s="81">
        <f>+IF(I139=0,0,I139/(I134+I137))</f>
        <v>35.999999999999993</v>
      </c>
      <c r="J140" s="81">
        <f>+IF(J139=0,0,J139/(J134+J137))</f>
        <v>36</v>
      </c>
      <c r="K140" s="81">
        <f>+IF(K139=0,0,K139/(K134+K137))</f>
        <v>36</v>
      </c>
      <c r="L140" s="81">
        <f>+IF(L139=0,0,L139/(L134+L137))</f>
        <v>36</v>
      </c>
      <c r="N140" s="71" t="s">
        <v>166</v>
      </c>
      <c r="O140" s="81">
        <f>+IF(O139=0,0,O139/(O134+O137))</f>
        <v>35.999999999999993</v>
      </c>
      <c r="P140" s="81">
        <f>+IF(P139=0,0,P139/(P134+P137))</f>
        <v>36</v>
      </c>
      <c r="Q140" s="81">
        <f>+IF(Q139=0,0,Q139/(Q134+Q137))</f>
        <v>36</v>
      </c>
      <c r="R140" s="81">
        <f>+IF(R139=0,0,R139/(R134+R137))</f>
        <v>36</v>
      </c>
    </row>
    <row r="141" spans="2:18">
      <c r="B141" s="82" t="s">
        <v>167</v>
      </c>
      <c r="C141" s="83">
        <v>1</v>
      </c>
      <c r="D141" s="83">
        <v>1</v>
      </c>
      <c r="E141" s="83">
        <v>1</v>
      </c>
      <c r="F141" s="83">
        <v>1</v>
      </c>
      <c r="H141" s="82" t="s">
        <v>167</v>
      </c>
      <c r="I141" s="83">
        <v>1</v>
      </c>
      <c r="J141" s="83">
        <v>1</v>
      </c>
      <c r="K141" s="83">
        <v>1</v>
      </c>
      <c r="L141" s="83">
        <v>1</v>
      </c>
      <c r="N141" s="82" t="s">
        <v>167</v>
      </c>
      <c r="O141" s="83">
        <v>1</v>
      </c>
      <c r="P141" s="83">
        <v>1</v>
      </c>
      <c r="Q141" s="83">
        <v>1</v>
      </c>
      <c r="R141" s="83">
        <v>1</v>
      </c>
    </row>
    <row r="142" spans="2:18">
      <c r="B142" s="84" t="s">
        <v>168</v>
      </c>
      <c r="C142" s="85">
        <f>C141*(C137+C134)</f>
        <v>660</v>
      </c>
      <c r="D142" s="85">
        <f>D141*(D137+D134)</f>
        <v>770</v>
      </c>
      <c r="E142" s="85">
        <f>E141*(E137+E134)</f>
        <v>880</v>
      </c>
      <c r="F142" s="85">
        <f>F141*(F137+F134)</f>
        <v>990</v>
      </c>
      <c r="H142" s="84" t="s">
        <v>168</v>
      </c>
      <c r="I142" s="85">
        <f>I141*(I137+I134)</f>
        <v>660</v>
      </c>
      <c r="J142" s="85">
        <f>J141*(J137+J134)</f>
        <v>770</v>
      </c>
      <c r="K142" s="85">
        <f>K141*(K137+K134)</f>
        <v>880</v>
      </c>
      <c r="L142" s="85">
        <f>L141*(L137+L134)</f>
        <v>990</v>
      </c>
      <c r="N142" s="84" t="s">
        <v>168</v>
      </c>
      <c r="O142" s="85">
        <f>O141*(O137+O134)</f>
        <v>660</v>
      </c>
      <c r="P142" s="85">
        <f>P141*(P137+P134)</f>
        <v>770</v>
      </c>
      <c r="Q142" s="85">
        <f>Q141*(Q137+Q134)</f>
        <v>880</v>
      </c>
      <c r="R142" s="85">
        <f>R141*(R137+R134)</f>
        <v>990</v>
      </c>
    </row>
    <row r="143" spans="2:18">
      <c r="B143" s="84"/>
      <c r="C143" s="85"/>
      <c r="D143" s="85"/>
      <c r="E143" s="85"/>
      <c r="F143" s="85"/>
      <c r="H143" s="84"/>
      <c r="I143" s="85"/>
      <c r="J143" s="85"/>
      <c r="K143" s="85"/>
      <c r="L143" s="85"/>
      <c r="N143" s="84"/>
      <c r="O143" s="85"/>
      <c r="P143" s="85"/>
      <c r="Q143" s="85"/>
      <c r="R143" s="85"/>
    </row>
    <row r="144" spans="2:18">
      <c r="B144" s="86" t="s">
        <v>169</v>
      </c>
      <c r="C144" s="87">
        <f>C142*C140</f>
        <v>23759.999999999996</v>
      </c>
      <c r="D144" s="87">
        <f>D142*D140</f>
        <v>27720</v>
      </c>
      <c r="E144" s="87">
        <f>E142*E140</f>
        <v>31680</v>
      </c>
      <c r="F144" s="87">
        <f>F142*F140</f>
        <v>35640</v>
      </c>
      <c r="H144" s="86" t="s">
        <v>169</v>
      </c>
      <c r="I144" s="87">
        <f>I142*I140</f>
        <v>23759.999999999996</v>
      </c>
      <c r="J144" s="87">
        <f>J142*J140</f>
        <v>27720</v>
      </c>
      <c r="K144" s="87">
        <f>K142*K140</f>
        <v>31680</v>
      </c>
      <c r="L144" s="87">
        <f>L142*L140</f>
        <v>35640</v>
      </c>
      <c r="N144" s="86" t="s">
        <v>169</v>
      </c>
      <c r="O144" s="87">
        <f>O142*O140</f>
        <v>23759.999999999996</v>
      </c>
      <c r="P144" s="87">
        <f>P142*P140</f>
        <v>27720</v>
      </c>
      <c r="Q144" s="87">
        <f>Q142*Q140</f>
        <v>31680</v>
      </c>
      <c r="R144" s="87">
        <f>R142*R140</f>
        <v>35640</v>
      </c>
    </row>
    <row r="145" spans="2:18">
      <c r="B145" s="86"/>
      <c r="C145" s="85">
        <v>0</v>
      </c>
      <c r="D145" s="85">
        <v>0</v>
      </c>
      <c r="E145" s="85">
        <v>0</v>
      </c>
      <c r="F145" s="85">
        <v>0</v>
      </c>
      <c r="H145" s="86"/>
      <c r="I145" s="85">
        <v>0</v>
      </c>
      <c r="J145" s="85">
        <v>0</v>
      </c>
      <c r="K145" s="85">
        <v>0</v>
      </c>
      <c r="L145" s="85">
        <v>0</v>
      </c>
      <c r="N145" s="86"/>
      <c r="O145" s="85">
        <v>0</v>
      </c>
      <c r="P145" s="85">
        <v>0</v>
      </c>
      <c r="Q145" s="85">
        <v>0</v>
      </c>
      <c r="R145" s="85">
        <v>0</v>
      </c>
    </row>
    <row r="146" spans="2:18">
      <c r="B146" s="86" t="s">
        <v>170</v>
      </c>
      <c r="C146" s="85">
        <f>-C144/6</f>
        <v>-3959.9999999999995</v>
      </c>
      <c r="D146" s="85">
        <f>-D144/6</f>
        <v>-4620</v>
      </c>
      <c r="E146" s="85">
        <f>-E144/6</f>
        <v>-5280</v>
      </c>
      <c r="F146" s="85">
        <f>-F144/6</f>
        <v>-5940</v>
      </c>
      <c r="H146" s="86" t="s">
        <v>170</v>
      </c>
      <c r="I146" s="85">
        <f>-I144/6</f>
        <v>-3959.9999999999995</v>
      </c>
      <c r="J146" s="85">
        <f>-J144/6</f>
        <v>-4620</v>
      </c>
      <c r="K146" s="85">
        <f>-K144/6</f>
        <v>-5280</v>
      </c>
      <c r="L146" s="85">
        <f>-L144/6</f>
        <v>-5940</v>
      </c>
      <c r="N146" s="86" t="s">
        <v>170</v>
      </c>
      <c r="O146" s="85">
        <f>-O144/6</f>
        <v>-3959.9999999999995</v>
      </c>
      <c r="P146" s="85">
        <f>-P144/6</f>
        <v>-4620</v>
      </c>
      <c r="Q146" s="85">
        <f>-Q144/6</f>
        <v>-5280</v>
      </c>
      <c r="R146" s="85">
        <f>-R144/6</f>
        <v>-5940</v>
      </c>
    </row>
    <row r="147" spans="2:18">
      <c r="B147" s="88" t="s">
        <v>171</v>
      </c>
      <c r="C147" s="88">
        <f>+C144+C145+C146</f>
        <v>19799.999999999996</v>
      </c>
      <c r="D147" s="88">
        <f>+D144+D145+D146</f>
        <v>23100</v>
      </c>
      <c r="E147" s="88">
        <f>+E144+E145+E146</f>
        <v>26400</v>
      </c>
      <c r="F147" s="89">
        <f>+F144+F145+F146</f>
        <v>29700</v>
      </c>
      <c r="H147" s="88" t="s">
        <v>171</v>
      </c>
      <c r="I147" s="88">
        <f>+I144+I145+I146</f>
        <v>19799.999999999996</v>
      </c>
      <c r="J147" s="88">
        <f>+J144+J145+J146</f>
        <v>23100</v>
      </c>
      <c r="K147" s="88">
        <f>+K144+K145+K146</f>
        <v>26400</v>
      </c>
      <c r="L147" s="89">
        <f>+L144+L145+L146</f>
        <v>29700</v>
      </c>
      <c r="N147" s="88" t="s">
        <v>171</v>
      </c>
      <c r="O147" s="88">
        <f>+O144+O145+O146</f>
        <v>19799.999999999996</v>
      </c>
      <c r="P147" s="88">
        <f>+P144+P145+P146</f>
        <v>23100</v>
      </c>
      <c r="Q147" s="88">
        <f>+Q144+Q145+Q146</f>
        <v>26400</v>
      </c>
      <c r="R147" s="89">
        <f>+R144+R145+R146</f>
        <v>29700</v>
      </c>
    </row>
    <row r="148" spans="2:18">
      <c r="B148" s="90" t="s">
        <v>172</v>
      </c>
      <c r="C148" s="85"/>
      <c r="D148" s="85"/>
      <c r="E148" s="85"/>
      <c r="F148" s="85"/>
      <c r="H148" s="90" t="s">
        <v>172</v>
      </c>
      <c r="I148" s="85"/>
      <c r="J148" s="85"/>
      <c r="K148" s="85"/>
      <c r="L148" s="85"/>
      <c r="N148" s="90" t="s">
        <v>172</v>
      </c>
      <c r="O148" s="85"/>
      <c r="P148" s="85"/>
      <c r="Q148" s="85"/>
      <c r="R148" s="85"/>
    </row>
    <row r="149" spans="2:18">
      <c r="B149" s="91" t="s">
        <v>173</v>
      </c>
      <c r="C149" s="92">
        <v>25000</v>
      </c>
      <c r="D149" s="92">
        <v>25000</v>
      </c>
      <c r="E149" s="92">
        <v>25000</v>
      </c>
      <c r="F149" s="92">
        <v>25000</v>
      </c>
      <c r="H149" s="91" t="s">
        <v>173</v>
      </c>
      <c r="I149" s="92">
        <v>20000</v>
      </c>
      <c r="J149" s="92">
        <v>20000</v>
      </c>
      <c r="K149" s="92">
        <v>20000</v>
      </c>
      <c r="L149" s="92">
        <v>20000</v>
      </c>
      <c r="N149" s="91" t="s">
        <v>173</v>
      </c>
      <c r="O149" s="92">
        <v>15000</v>
      </c>
      <c r="P149" s="92">
        <v>15000</v>
      </c>
      <c r="Q149" s="92">
        <v>15000</v>
      </c>
      <c r="R149" s="92">
        <v>15000</v>
      </c>
    </row>
    <row r="150" spans="2:18">
      <c r="B150" s="93" t="s">
        <v>174</v>
      </c>
      <c r="C150" s="94">
        <v>250</v>
      </c>
      <c r="D150" s="94">
        <v>250</v>
      </c>
      <c r="E150" s="94">
        <v>250</v>
      </c>
      <c r="F150" s="94">
        <v>250</v>
      </c>
      <c r="H150" s="93" t="s">
        <v>174</v>
      </c>
      <c r="I150" s="94">
        <v>250</v>
      </c>
      <c r="J150" s="94">
        <v>250</v>
      </c>
      <c r="K150" s="94">
        <v>250</v>
      </c>
      <c r="L150" s="94">
        <v>250</v>
      </c>
      <c r="N150" s="93" t="s">
        <v>174</v>
      </c>
      <c r="O150" s="94">
        <v>250</v>
      </c>
      <c r="P150" s="94">
        <v>250</v>
      </c>
      <c r="Q150" s="94">
        <v>250</v>
      </c>
      <c r="R150" s="94">
        <v>250</v>
      </c>
    </row>
    <row r="151" spans="2:18">
      <c r="B151" s="93" t="s">
        <v>26</v>
      </c>
      <c r="C151" s="94">
        <v>10000</v>
      </c>
      <c r="D151" s="94">
        <v>10000</v>
      </c>
      <c r="E151" s="94">
        <v>10000</v>
      </c>
      <c r="F151" s="94">
        <v>10000</v>
      </c>
      <c r="H151" s="93" t="s">
        <v>26</v>
      </c>
      <c r="I151" s="94">
        <v>10000</v>
      </c>
      <c r="J151" s="94">
        <v>10000</v>
      </c>
      <c r="K151" s="94">
        <v>10000</v>
      </c>
      <c r="L151" s="94">
        <v>10000</v>
      </c>
      <c r="N151" s="93" t="s">
        <v>26</v>
      </c>
      <c r="O151" s="94">
        <v>10000</v>
      </c>
      <c r="P151" s="94">
        <v>10000</v>
      </c>
      <c r="Q151" s="94">
        <v>10000</v>
      </c>
      <c r="R151" s="94">
        <v>10000</v>
      </c>
    </row>
    <row r="152" spans="2:18">
      <c r="B152" s="93" t="s">
        <v>175</v>
      </c>
      <c r="C152" s="94">
        <v>10000</v>
      </c>
      <c r="D152" s="94">
        <v>10000</v>
      </c>
      <c r="E152" s="94">
        <v>10000</v>
      </c>
      <c r="F152" s="94">
        <v>10000</v>
      </c>
      <c r="H152" s="93" t="s">
        <v>175</v>
      </c>
      <c r="I152" s="94">
        <v>10000</v>
      </c>
      <c r="J152" s="94">
        <v>10000</v>
      </c>
      <c r="K152" s="94">
        <v>10000</v>
      </c>
      <c r="L152" s="94">
        <v>10000</v>
      </c>
      <c r="N152" s="93" t="s">
        <v>175</v>
      </c>
      <c r="O152" s="94">
        <v>10000</v>
      </c>
      <c r="P152" s="94">
        <v>10000</v>
      </c>
      <c r="Q152" s="94">
        <v>10000</v>
      </c>
      <c r="R152" s="94">
        <v>10000</v>
      </c>
    </row>
    <row r="153" spans="2:18">
      <c r="B153" s="93" t="s">
        <v>42</v>
      </c>
      <c r="C153" s="94">
        <v>2500</v>
      </c>
      <c r="D153" s="94">
        <v>2500</v>
      </c>
      <c r="E153" s="94">
        <v>2500</v>
      </c>
      <c r="F153" s="94">
        <v>2500</v>
      </c>
      <c r="H153" s="93" t="s">
        <v>42</v>
      </c>
      <c r="I153" s="94">
        <v>2500</v>
      </c>
      <c r="J153" s="94">
        <v>2500</v>
      </c>
      <c r="K153" s="94">
        <v>2500</v>
      </c>
      <c r="L153" s="94">
        <v>2500</v>
      </c>
      <c r="N153" s="93" t="s">
        <v>42</v>
      </c>
      <c r="O153" s="94">
        <v>2500</v>
      </c>
      <c r="P153" s="94">
        <v>2500</v>
      </c>
      <c r="Q153" s="94">
        <v>2500</v>
      </c>
      <c r="R153" s="94">
        <v>2500</v>
      </c>
    </row>
    <row r="154" spans="2:18">
      <c r="B154" s="93" t="s">
        <v>27</v>
      </c>
      <c r="C154" s="94">
        <v>1000</v>
      </c>
      <c r="D154" s="94">
        <v>1000</v>
      </c>
      <c r="E154" s="94">
        <v>1000</v>
      </c>
      <c r="F154" s="94">
        <v>1000</v>
      </c>
      <c r="H154" s="93" t="s">
        <v>27</v>
      </c>
      <c r="I154" s="94">
        <v>1000</v>
      </c>
      <c r="J154" s="94">
        <v>1000</v>
      </c>
      <c r="K154" s="94">
        <v>1000</v>
      </c>
      <c r="L154" s="94">
        <v>1000</v>
      </c>
      <c r="N154" s="93" t="s">
        <v>27</v>
      </c>
      <c r="O154" s="94">
        <v>1000</v>
      </c>
      <c r="P154" s="94">
        <v>1000</v>
      </c>
      <c r="Q154" s="94">
        <v>1000</v>
      </c>
      <c r="R154" s="94">
        <v>1000</v>
      </c>
    </row>
    <row r="155" spans="2:18">
      <c r="B155" s="95" t="s">
        <v>176</v>
      </c>
      <c r="C155" s="96">
        <f>SUM(C149:C154)</f>
        <v>48750</v>
      </c>
      <c r="D155" s="96">
        <f>SUM(D149:D154)</f>
        <v>48750</v>
      </c>
      <c r="E155" s="96">
        <f>SUM(E149:E154)</f>
        <v>48750</v>
      </c>
      <c r="F155" s="96">
        <f>SUM(F149:F154)</f>
        <v>48750</v>
      </c>
      <c r="H155" s="95" t="s">
        <v>176</v>
      </c>
      <c r="I155" s="96">
        <f>SUM(I149:I154)</f>
        <v>43750</v>
      </c>
      <c r="J155" s="96">
        <f>SUM(J149:J154)</f>
        <v>43750</v>
      </c>
      <c r="K155" s="96">
        <f>SUM(K149:K154)</f>
        <v>43750</v>
      </c>
      <c r="L155" s="96">
        <f>SUM(L149:L154)</f>
        <v>43750</v>
      </c>
      <c r="N155" s="95" t="s">
        <v>176</v>
      </c>
      <c r="O155" s="96">
        <f>SUM(O149:O154)</f>
        <v>38750</v>
      </c>
      <c r="P155" s="96">
        <f>SUM(P149:P154)</f>
        <v>38750</v>
      </c>
      <c r="Q155" s="96">
        <f>SUM(Q149:Q154)</f>
        <v>38750</v>
      </c>
      <c r="R155" s="96">
        <f>SUM(R149:R154)</f>
        <v>38750</v>
      </c>
    </row>
    <row r="156" spans="2:18">
      <c r="B156" s="88" t="s">
        <v>177</v>
      </c>
      <c r="C156" s="88">
        <f>SUM(C147-C155)</f>
        <v>-28950.000000000004</v>
      </c>
      <c r="D156" s="88">
        <f>SUM(D147-D155)</f>
        <v>-25650</v>
      </c>
      <c r="E156" s="88">
        <f>SUM(E147-E155)</f>
        <v>-22350</v>
      </c>
      <c r="F156" s="88">
        <f>SUM(F147-F155)</f>
        <v>-19050</v>
      </c>
      <c r="H156" s="88" t="s">
        <v>177</v>
      </c>
      <c r="I156" s="88">
        <f>SUM(I147-I155)</f>
        <v>-23950.000000000004</v>
      </c>
      <c r="J156" s="88">
        <f>SUM(J147-J155)</f>
        <v>-20650</v>
      </c>
      <c r="K156" s="88">
        <f>SUM(K147-K155)</f>
        <v>-17350</v>
      </c>
      <c r="L156" s="88">
        <f>SUM(L147-L155)</f>
        <v>-14050</v>
      </c>
      <c r="N156" s="88" t="s">
        <v>177</v>
      </c>
      <c r="O156" s="88">
        <f>SUM(O147-O155)</f>
        <v>-18950.000000000004</v>
      </c>
      <c r="P156" s="88">
        <f>SUM(P147-P155)</f>
        <v>-15650</v>
      </c>
      <c r="Q156" s="88">
        <f>SUM(Q147-Q155)</f>
        <v>-12350</v>
      </c>
      <c r="R156" s="88">
        <f>SUM(R147-R155)</f>
        <v>-9050</v>
      </c>
    </row>
  </sheetData>
  <mergeCells count="6">
    <mergeCell ref="B2:B3"/>
    <mergeCell ref="H2:H3"/>
    <mergeCell ref="B120:B121"/>
    <mergeCell ref="H120:H121"/>
    <mergeCell ref="N2:N3"/>
    <mergeCell ref="N120:N12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A3" sqref="A3:C38"/>
    </sheetView>
  </sheetViews>
  <sheetFormatPr defaultRowHeight="15.75"/>
  <cols>
    <col min="1" max="1" width="37.5" customWidth="1"/>
    <col min="2" max="2" width="11.125" bestFit="1" customWidth="1"/>
  </cols>
  <sheetData>
    <row r="1" spans="1:3">
      <c r="A1" s="145" t="s">
        <v>21</v>
      </c>
    </row>
    <row r="3" spans="1:3">
      <c r="A3" s="151" t="s">
        <v>22</v>
      </c>
      <c r="B3" s="42"/>
      <c r="C3" s="42"/>
    </row>
    <row r="4" spans="1:3">
      <c r="A4" s="151" t="s">
        <v>233</v>
      </c>
      <c r="B4" s="42"/>
      <c r="C4" s="42"/>
    </row>
    <row r="5" spans="1:3">
      <c r="A5" s="42" t="s">
        <v>234</v>
      </c>
      <c r="B5" s="152">
        <v>500</v>
      </c>
      <c r="C5" s="42"/>
    </row>
    <row r="6" spans="1:3">
      <c r="A6" s="42" t="s">
        <v>235</v>
      </c>
      <c r="B6" s="152">
        <v>450</v>
      </c>
      <c r="C6" s="42"/>
    </row>
    <row r="7" spans="1:3">
      <c r="A7" s="42" t="s">
        <v>236</v>
      </c>
      <c r="B7" s="152">
        <v>400</v>
      </c>
      <c r="C7" s="42"/>
    </row>
    <row r="8" spans="1:3">
      <c r="A8" s="42" t="s">
        <v>237</v>
      </c>
      <c r="B8" s="152"/>
      <c r="C8" s="42" t="s">
        <v>238</v>
      </c>
    </row>
    <row r="9" spans="1:3">
      <c r="A9" s="42"/>
      <c r="B9" s="152"/>
      <c r="C9" s="42"/>
    </row>
    <row r="10" spans="1:3">
      <c r="A10" s="151" t="s">
        <v>239</v>
      </c>
      <c r="B10" s="152"/>
      <c r="C10" s="42"/>
    </row>
    <row r="11" spans="1:3">
      <c r="A11" s="42" t="s">
        <v>240</v>
      </c>
      <c r="B11" s="152"/>
      <c r="C11" s="42"/>
    </row>
    <row r="12" spans="1:3">
      <c r="A12" s="42"/>
      <c r="B12" s="152"/>
      <c r="C12" s="42"/>
    </row>
    <row r="13" spans="1:3">
      <c r="A13" s="42"/>
      <c r="B13" s="152"/>
      <c r="C13" s="42"/>
    </row>
    <row r="14" spans="1:3">
      <c r="A14" s="42"/>
      <c r="B14" s="152"/>
      <c r="C14" s="42"/>
    </row>
    <row r="15" spans="1:3">
      <c r="A15" s="151" t="s">
        <v>24</v>
      </c>
      <c r="B15" s="152"/>
      <c r="C15" s="42"/>
    </row>
    <row r="16" spans="1:3">
      <c r="A16" s="42" t="s">
        <v>241</v>
      </c>
      <c r="B16" s="152"/>
      <c r="C16" s="42"/>
    </row>
    <row r="17" spans="1:3">
      <c r="A17" s="42" t="s">
        <v>242</v>
      </c>
      <c r="B17" s="152">
        <v>10000</v>
      </c>
      <c r="C17" s="42"/>
    </row>
    <row r="18" spans="1:3">
      <c r="A18" s="42"/>
      <c r="B18" s="152"/>
      <c r="C18" s="42"/>
    </row>
    <row r="19" spans="1:3">
      <c r="A19" s="151" t="s">
        <v>73</v>
      </c>
      <c r="B19" s="152"/>
      <c r="C19" s="42"/>
    </row>
    <row r="20" spans="1:3">
      <c r="A20" s="42" t="s">
        <v>243</v>
      </c>
      <c r="B20" s="152">
        <v>2000</v>
      </c>
      <c r="C20" s="42"/>
    </row>
    <row r="21" spans="1:3">
      <c r="A21" s="42"/>
      <c r="B21" s="152"/>
      <c r="C21" s="42"/>
    </row>
    <row r="22" spans="1:3">
      <c r="A22" s="42"/>
      <c r="B22" s="152"/>
      <c r="C22" s="42"/>
    </row>
    <row r="23" spans="1:3">
      <c r="A23" s="151" t="s">
        <v>5</v>
      </c>
      <c r="B23" s="152"/>
      <c r="C23" s="42"/>
    </row>
    <row r="24" spans="1:3">
      <c r="A24" s="42" t="s">
        <v>244</v>
      </c>
      <c r="B24" s="152">
        <v>500</v>
      </c>
      <c r="C24" s="42"/>
    </row>
    <row r="25" spans="1:3">
      <c r="A25" s="42" t="s">
        <v>245</v>
      </c>
      <c r="B25" s="152">
        <v>600</v>
      </c>
      <c r="C25" s="42"/>
    </row>
    <row r="26" spans="1:3">
      <c r="A26" s="42" t="s">
        <v>246</v>
      </c>
      <c r="B26" s="152">
        <v>350</v>
      </c>
      <c r="C26" s="42"/>
    </row>
    <row r="27" spans="1:3">
      <c r="A27" s="42" t="s">
        <v>247</v>
      </c>
      <c r="B27" s="152">
        <v>1000</v>
      </c>
      <c r="C27" s="42"/>
    </row>
    <row r="28" spans="1:3">
      <c r="A28" s="42" t="s">
        <v>248</v>
      </c>
      <c r="B28" s="152">
        <v>500</v>
      </c>
      <c r="C28" s="42"/>
    </row>
    <row r="29" spans="1:3">
      <c r="A29" s="42" t="s">
        <v>249</v>
      </c>
      <c r="B29" s="152">
        <v>1500</v>
      </c>
      <c r="C29" s="42"/>
    </row>
    <row r="30" spans="1:3">
      <c r="A30" s="42"/>
      <c r="B30" s="152"/>
      <c r="C30" s="42"/>
    </row>
    <row r="31" spans="1:3">
      <c r="A31" s="151" t="s">
        <v>250</v>
      </c>
      <c r="B31" s="152"/>
      <c r="C31" s="42"/>
    </row>
    <row r="32" spans="1:3">
      <c r="A32" s="42" t="s">
        <v>251</v>
      </c>
      <c r="B32" s="152">
        <f>SUM(3*200)</f>
        <v>600</v>
      </c>
      <c r="C32" s="42" t="s">
        <v>252</v>
      </c>
    </row>
    <row r="33" spans="1:3">
      <c r="A33" s="42" t="s">
        <v>253</v>
      </c>
      <c r="B33" s="152">
        <f>SUM(10*200)</f>
        <v>2000</v>
      </c>
      <c r="C33" s="42" t="s">
        <v>254</v>
      </c>
    </row>
    <row r="34" spans="1:3">
      <c r="A34" s="42"/>
      <c r="B34" s="152"/>
      <c r="C34" s="42"/>
    </row>
    <row r="35" spans="1:3">
      <c r="A35" s="151" t="s">
        <v>7</v>
      </c>
      <c r="B35" s="153">
        <f>SUM(B5:B34)</f>
        <v>20400</v>
      </c>
      <c r="C35" s="42"/>
    </row>
    <row r="36" spans="1:3">
      <c r="A36" s="42"/>
      <c r="B36" s="42"/>
      <c r="C36" s="42"/>
    </row>
    <row r="37" spans="1:3">
      <c r="A37" s="151" t="s">
        <v>255</v>
      </c>
      <c r="B37" s="153">
        <v>35000</v>
      </c>
      <c r="C37" s="42" t="s">
        <v>256</v>
      </c>
    </row>
    <row r="38" spans="1:3">
      <c r="A38" s="42" t="s">
        <v>20</v>
      </c>
      <c r="B38" s="152">
        <f>SUM(B37-B35)</f>
        <v>14600</v>
      </c>
      <c r="C38" s="4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18" sqref="C18"/>
    </sheetView>
  </sheetViews>
  <sheetFormatPr defaultRowHeight="15.75"/>
  <cols>
    <col min="1" max="1" width="37.5" customWidth="1"/>
    <col min="2" max="2" width="11.125" bestFit="1" customWidth="1"/>
    <col min="3" max="3" width="115.75" customWidth="1"/>
  </cols>
  <sheetData>
    <row r="1" spans="1:3">
      <c r="A1" s="41" t="s">
        <v>0</v>
      </c>
      <c r="B1" s="5"/>
    </row>
    <row r="2" spans="1:3">
      <c r="A2" s="137" t="s">
        <v>216</v>
      </c>
      <c r="B2" s="137" t="s">
        <v>22</v>
      </c>
    </row>
    <row r="3" spans="1:3">
      <c r="A3" s="137" t="s">
        <v>226</v>
      </c>
      <c r="B3" s="138"/>
    </row>
    <row r="4" spans="1:3">
      <c r="A4" s="138" t="s">
        <v>227</v>
      </c>
      <c r="B4" s="139"/>
    </row>
    <row r="5" spans="1:3">
      <c r="A5" s="138" t="s">
        <v>228</v>
      </c>
      <c r="B5" s="139"/>
    </row>
    <row r="6" spans="1:3">
      <c r="A6" s="138" t="s">
        <v>229</v>
      </c>
      <c r="B6" s="139"/>
    </row>
    <row r="7" spans="1:3">
      <c r="A7" s="138" t="s">
        <v>203</v>
      </c>
      <c r="B7" s="139"/>
    </row>
    <row r="8" spans="1:3">
      <c r="A8" s="138"/>
      <c r="B8" s="139"/>
    </row>
    <row r="9" spans="1:3">
      <c r="A9" s="138"/>
      <c r="B9" s="139"/>
    </row>
    <row r="10" spans="1:3">
      <c r="A10" s="137" t="s">
        <v>217</v>
      </c>
      <c r="B10" s="139"/>
    </row>
    <row r="11" spans="1:3">
      <c r="A11" s="138" t="s">
        <v>218</v>
      </c>
      <c r="B11" s="139">
        <v>27000</v>
      </c>
      <c r="C11" t="s">
        <v>219</v>
      </c>
    </row>
    <row r="12" spans="1:3">
      <c r="A12" s="138" t="s">
        <v>220</v>
      </c>
      <c r="B12" s="139">
        <v>3500</v>
      </c>
      <c r="C12" t="s">
        <v>221</v>
      </c>
    </row>
    <row r="13" spans="1:3">
      <c r="A13" s="138" t="s">
        <v>222</v>
      </c>
      <c r="B13" s="139">
        <v>13000</v>
      </c>
      <c r="C13" t="s">
        <v>223</v>
      </c>
    </row>
    <row r="14" spans="1:3">
      <c r="A14" s="138" t="s">
        <v>224</v>
      </c>
      <c r="B14" s="139">
        <v>4500</v>
      </c>
      <c r="C14" t="s">
        <v>225</v>
      </c>
    </row>
    <row r="15" spans="1:3">
      <c r="A15" s="138"/>
      <c r="B15" s="139"/>
    </row>
    <row r="16" spans="1:3">
      <c r="A16" s="138" t="s">
        <v>230</v>
      </c>
      <c r="B16" s="139">
        <v>400</v>
      </c>
    </row>
    <row r="17" spans="1:3">
      <c r="A17" s="138" t="s">
        <v>231</v>
      </c>
      <c r="B17" s="139"/>
    </row>
    <row r="18" spans="1:3">
      <c r="A18" s="138" t="s">
        <v>232</v>
      </c>
      <c r="B18" s="139"/>
      <c r="C18" t="s">
        <v>258</v>
      </c>
    </row>
    <row r="19" spans="1:3">
      <c r="A19" s="138" t="s">
        <v>27</v>
      </c>
      <c r="B19" s="139">
        <v>1000</v>
      </c>
    </row>
    <row r="20" spans="1:3">
      <c r="A20" s="138"/>
      <c r="B20" s="139"/>
    </row>
    <row r="21" spans="1:3">
      <c r="A21" s="138"/>
      <c r="B21" s="139"/>
    </row>
    <row r="22" spans="1:3">
      <c r="A22" s="137" t="s">
        <v>7</v>
      </c>
      <c r="B22" s="140">
        <f>SUM(B4:B14)</f>
        <v>48000</v>
      </c>
    </row>
    <row r="23" spans="1:3">
      <c r="A23" s="141" t="s">
        <v>22</v>
      </c>
      <c r="B23" s="142">
        <f>'Top Sheet'!B7</f>
        <v>70000</v>
      </c>
      <c r="C23" s="11"/>
    </row>
    <row r="24" spans="1:3">
      <c r="A24" s="144" t="s">
        <v>20</v>
      </c>
      <c r="B24" s="9">
        <f>SUM(B23-B22)</f>
        <v>22000</v>
      </c>
    </row>
    <row r="25" spans="1:3">
      <c r="B25" s="9"/>
    </row>
    <row r="26" spans="1:3">
      <c r="B26" s="9"/>
    </row>
    <row r="27" spans="1:3">
      <c r="B27" s="9"/>
    </row>
    <row r="28" spans="1:3">
      <c r="B28" s="9"/>
    </row>
    <row r="29" spans="1:3">
      <c r="B29" s="9"/>
    </row>
    <row r="30" spans="1:3">
      <c r="B30" s="9"/>
    </row>
    <row r="31" spans="1:3">
      <c r="B31" s="9"/>
    </row>
    <row r="32" spans="1:3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39" spans="2:2">
      <c r="B39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4"/>
  <sheetViews>
    <sheetView zoomScale="82" zoomScaleNormal="82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B48" sqref="B48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146" t="s">
        <v>28</v>
      </c>
      <c r="E1" s="146"/>
      <c r="F1" s="5" t="s">
        <v>29</v>
      </c>
      <c r="G1" s="5" t="s">
        <v>20</v>
      </c>
    </row>
    <row r="2" spans="1:13" ht="16.5" thickBot="1">
      <c r="G2" s="2"/>
    </row>
    <row r="3" spans="1:13" s="18" customFormat="1">
      <c r="A3" s="5" t="s">
        <v>30</v>
      </c>
      <c r="B3" s="1">
        <v>42644</v>
      </c>
      <c r="C3" t="s">
        <v>31</v>
      </c>
      <c r="D3" s="8">
        <v>4000</v>
      </c>
      <c r="E3" s="8">
        <v>4000</v>
      </c>
      <c r="F3" s="49">
        <v>3999.88</v>
      </c>
      <c r="G3" s="2"/>
      <c r="H3"/>
      <c r="I3"/>
      <c r="J3" s="28" t="s">
        <v>32</v>
      </c>
      <c r="K3" s="19"/>
      <c r="L3" s="19"/>
      <c r="M3" s="20"/>
    </row>
    <row r="4" spans="1:13" s="18" customFormat="1">
      <c r="A4" s="5"/>
      <c r="B4" s="1"/>
      <c r="C4"/>
      <c r="D4" s="8"/>
      <c r="E4" s="8"/>
      <c r="F4" s="49"/>
      <c r="G4" s="2"/>
      <c r="H4"/>
      <c r="I4"/>
      <c r="J4" s="29"/>
      <c r="K4" s="21"/>
      <c r="L4" s="21"/>
      <c r="M4" s="22"/>
    </row>
    <row r="5" spans="1:13" s="18" customFormat="1">
      <c r="A5"/>
      <c r="B5" s="1">
        <v>42917</v>
      </c>
      <c r="C5" t="s">
        <v>33</v>
      </c>
      <c r="D5" s="8">
        <v>4000</v>
      </c>
      <c r="E5"/>
      <c r="F5" s="49"/>
      <c r="G5" s="2"/>
      <c r="H5"/>
      <c r="I5"/>
      <c r="J5" s="29" t="s">
        <v>34</v>
      </c>
      <c r="K5" s="21"/>
      <c r="L5" s="21"/>
      <c r="M5" s="22"/>
    </row>
    <row r="6" spans="1:13" s="18" customFormat="1">
      <c r="A6"/>
      <c r="B6" s="1">
        <v>42979</v>
      </c>
      <c r="C6" t="s">
        <v>35</v>
      </c>
      <c r="D6" s="8">
        <v>4000</v>
      </c>
      <c r="E6"/>
      <c r="F6" s="49"/>
      <c r="G6" s="2"/>
      <c r="H6"/>
      <c r="I6"/>
      <c r="J6" s="30"/>
      <c r="K6" s="21" t="s">
        <v>36</v>
      </c>
      <c r="L6" s="21" t="s">
        <v>37</v>
      </c>
      <c r="M6" s="22" t="s">
        <v>38</v>
      </c>
    </row>
    <row r="7" spans="1:13" s="18" customFormat="1">
      <c r="A7"/>
      <c r="B7" s="1">
        <v>43009</v>
      </c>
      <c r="C7" t="s">
        <v>39</v>
      </c>
      <c r="D7" s="8">
        <v>4000</v>
      </c>
      <c r="E7"/>
      <c r="F7" s="49"/>
      <c r="G7" s="2"/>
      <c r="H7"/>
      <c r="I7"/>
      <c r="J7" s="30"/>
      <c r="K7" s="26">
        <v>5</v>
      </c>
      <c r="L7" s="21">
        <v>100</v>
      </c>
      <c r="M7" s="22">
        <v>5</v>
      </c>
    </row>
    <row r="8" spans="1:13" s="18" customFormat="1">
      <c r="A8"/>
      <c r="B8" s="1">
        <v>43040</v>
      </c>
      <c r="C8" t="s">
        <v>40</v>
      </c>
      <c r="D8" s="8">
        <v>4000</v>
      </c>
      <c r="E8"/>
      <c r="F8" s="49"/>
      <c r="G8" s="2"/>
      <c r="H8"/>
      <c r="I8"/>
      <c r="J8" s="30" t="s">
        <v>41</v>
      </c>
      <c r="K8" s="26">
        <f>SUM(K7*L7)*M7</f>
        <v>2500</v>
      </c>
      <c r="L8" s="21"/>
      <c r="M8" s="22"/>
    </row>
    <row r="9" spans="1:13" s="18" customFormat="1">
      <c r="A9"/>
      <c r="B9" s="1">
        <v>43070</v>
      </c>
      <c r="C9" t="s">
        <v>31</v>
      </c>
      <c r="D9" s="8">
        <v>5000</v>
      </c>
      <c r="E9" t="s">
        <v>42</v>
      </c>
      <c r="F9" s="49"/>
      <c r="G9" s="2"/>
      <c r="H9"/>
      <c r="I9"/>
      <c r="J9" s="30"/>
      <c r="K9" s="21"/>
      <c r="L9" s="21"/>
      <c r="M9" s="22"/>
    </row>
    <row r="10" spans="1:13" s="18" customFormat="1">
      <c r="A10"/>
      <c r="B10" s="1" t="s">
        <v>43</v>
      </c>
      <c r="C10"/>
      <c r="D10" s="8">
        <v>3500</v>
      </c>
      <c r="E10"/>
      <c r="F10" s="49"/>
      <c r="G10"/>
      <c r="H10"/>
      <c r="I10"/>
      <c r="J10" s="30"/>
      <c r="K10" s="21"/>
      <c r="L10" s="21"/>
      <c r="M10" s="22"/>
    </row>
    <row r="11" spans="1:13" s="18" customFormat="1">
      <c r="A11"/>
      <c r="B11" s="1"/>
      <c r="C11"/>
      <c r="D11" s="9"/>
      <c r="E11"/>
      <c r="F11" s="49"/>
      <c r="G11" s="2"/>
      <c r="H11"/>
      <c r="I11"/>
      <c r="J11" s="29" t="s">
        <v>44</v>
      </c>
      <c r="K11" s="21"/>
      <c r="L11" s="21"/>
      <c r="M11" s="22"/>
    </row>
    <row r="12" spans="1:13" s="18" customFormat="1">
      <c r="A12"/>
      <c r="B12" s="1"/>
      <c r="C12"/>
      <c r="D12"/>
      <c r="E12" s="37">
        <f>SUM(D3:D10)</f>
        <v>28500</v>
      </c>
      <c r="F12" s="49"/>
      <c r="G12" s="2"/>
      <c r="H12"/>
      <c r="I12"/>
      <c r="J12" s="30"/>
      <c r="K12" s="21" t="s">
        <v>36</v>
      </c>
      <c r="L12" s="21" t="s">
        <v>37</v>
      </c>
      <c r="M12" s="22" t="s">
        <v>38</v>
      </c>
    </row>
    <row r="13" spans="1:13" s="18" customFormat="1">
      <c r="A13"/>
      <c r="B13" s="1"/>
      <c r="C13"/>
      <c r="D13" s="9"/>
      <c r="E13"/>
      <c r="F13" s="49"/>
      <c r="G13" s="2"/>
      <c r="H13"/>
      <c r="I13"/>
      <c r="J13" s="30"/>
      <c r="K13" s="26">
        <v>10</v>
      </c>
      <c r="L13" s="21">
        <v>900</v>
      </c>
      <c r="M13" s="22">
        <v>1</v>
      </c>
    </row>
    <row r="14" spans="1:13" s="18" customFormat="1" ht="16.5" thickBot="1">
      <c r="A14"/>
      <c r="B14"/>
      <c r="C14"/>
      <c r="D14" s="8"/>
      <c r="E14"/>
      <c r="F14" s="49"/>
      <c r="G14" s="2"/>
      <c r="H14"/>
      <c r="I14"/>
      <c r="J14" s="31" t="s">
        <v>41</v>
      </c>
      <c r="K14" s="32">
        <f>SUM(K13*L13)*M13</f>
        <v>9000</v>
      </c>
      <c r="L14" s="23"/>
      <c r="M14" s="24"/>
    </row>
    <row r="15" spans="1:13" s="18" customFormat="1">
      <c r="A15" s="5" t="s">
        <v>45</v>
      </c>
      <c r="B15" s="3" t="s">
        <v>46</v>
      </c>
      <c r="C15"/>
      <c r="D15" s="35">
        <v>3000</v>
      </c>
      <c r="E15" s="49">
        <v>375</v>
      </c>
      <c r="F15" s="49">
        <v>375</v>
      </c>
      <c r="G15" s="2">
        <f>D15-F15</f>
        <v>2625</v>
      </c>
      <c r="H15"/>
      <c r="I15"/>
      <c r="J15" s="30"/>
      <c r="K15" s="21"/>
      <c r="L15" s="21"/>
      <c r="M15" s="22"/>
    </row>
    <row r="16" spans="1:13" s="18" customFormat="1">
      <c r="A16"/>
      <c r="B16" s="3" t="s">
        <v>47</v>
      </c>
      <c r="C16"/>
      <c r="D16" s="35">
        <v>3000</v>
      </c>
      <c r="E16" s="49"/>
      <c r="F16" s="49"/>
      <c r="G16" s="2">
        <f>D16-F16</f>
        <v>3000</v>
      </c>
      <c r="H16"/>
      <c r="I16"/>
      <c r="J16" s="30" t="s">
        <v>48</v>
      </c>
      <c r="K16" s="21"/>
      <c r="L16" s="25">
        <f>SUM(K8+K14)</f>
        <v>11500</v>
      </c>
      <c r="M16" s="22"/>
    </row>
    <row r="17" spans="1:13" s="18" customFormat="1">
      <c r="A17"/>
      <c r="B17" s="3" t="s">
        <v>49</v>
      </c>
      <c r="C17"/>
      <c r="D17" s="8">
        <v>3000</v>
      </c>
      <c r="E17" s="49"/>
      <c r="F17" s="49"/>
      <c r="G17" s="2">
        <f>D17</f>
        <v>3000</v>
      </c>
      <c r="H17"/>
      <c r="I17"/>
      <c r="J17" s="30" t="s">
        <v>50</v>
      </c>
      <c r="K17" s="21"/>
      <c r="L17" s="26">
        <f>SUM(L16/6)</f>
        <v>1916.6666666666667</v>
      </c>
      <c r="M17" s="22"/>
    </row>
    <row r="18" spans="1:13" s="18" customFormat="1">
      <c r="A18"/>
      <c r="B18" s="3"/>
      <c r="C18"/>
      <c r="D18" s="8"/>
      <c r="E18" s="49"/>
      <c r="F18" s="49"/>
      <c r="G18" s="2"/>
      <c r="H18"/>
      <c r="I18"/>
      <c r="J18" s="30"/>
      <c r="K18" s="21"/>
      <c r="L18" s="26"/>
      <c r="M18" s="22"/>
    </row>
    <row r="19" spans="1:13" s="18" customFormat="1">
      <c r="A19"/>
      <c r="B19" s="3"/>
      <c r="C19"/>
      <c r="E19" s="53">
        <f>SUM(D15:D17)</f>
        <v>9000</v>
      </c>
      <c r="F19" s="49"/>
      <c r="H19"/>
      <c r="I19"/>
      <c r="J19" s="30"/>
      <c r="K19" s="21"/>
      <c r="L19" s="26"/>
      <c r="M19" s="22"/>
    </row>
    <row r="20" spans="1:13" s="18" customFormat="1">
      <c r="A20"/>
      <c r="B20" s="3"/>
      <c r="C20"/>
      <c r="D20" s="8"/>
      <c r="E20" s="49"/>
      <c r="F20" s="49"/>
      <c r="G20" s="2"/>
      <c r="H20"/>
      <c r="I20"/>
      <c r="J20" s="30" t="s">
        <v>51</v>
      </c>
      <c r="K20" s="21"/>
      <c r="L20" s="26">
        <f>SUM(L16*0.019)</f>
        <v>218.5</v>
      </c>
      <c r="M20" s="22"/>
    </row>
    <row r="21" spans="1:13" s="18" customFormat="1">
      <c r="A21" s="5" t="s">
        <v>52</v>
      </c>
      <c r="B21" s="3" t="s">
        <v>53</v>
      </c>
      <c r="C21"/>
      <c r="D21" s="39">
        <v>2000</v>
      </c>
      <c r="E21" s="49">
        <v>2000</v>
      </c>
      <c r="F21" s="49">
        <v>2000</v>
      </c>
      <c r="G21" s="2"/>
      <c r="H21"/>
      <c r="I21"/>
      <c r="J21" s="30"/>
      <c r="K21" s="21"/>
      <c r="L21" s="26">
        <f>SUM(L17:L20)</f>
        <v>2135.166666666667</v>
      </c>
      <c r="M21" s="22"/>
    </row>
    <row r="22" spans="1:13" s="18" customFormat="1" ht="16.5" thickBot="1">
      <c r="A22"/>
      <c r="B22" s="3" t="s">
        <v>54</v>
      </c>
      <c r="C22"/>
      <c r="D22" s="8">
        <v>0</v>
      </c>
      <c r="E22" s="49"/>
      <c r="F22" s="49"/>
      <c r="G22" s="2"/>
      <c r="H22"/>
      <c r="I22"/>
      <c r="J22" s="33" t="s">
        <v>55</v>
      </c>
      <c r="K22" s="34"/>
      <c r="L22" s="27">
        <f>SUM(L16-L21)</f>
        <v>9364.8333333333321</v>
      </c>
      <c r="M22" s="24"/>
    </row>
    <row r="23" spans="1:13" s="18" customFormat="1">
      <c r="A23" t="s">
        <v>56</v>
      </c>
      <c r="B23" s="4" t="s">
        <v>57</v>
      </c>
      <c r="C23"/>
      <c r="D23" s="39">
        <v>5000</v>
      </c>
      <c r="E23" s="49">
        <v>213</v>
      </c>
      <c r="F23" s="49">
        <v>213</v>
      </c>
      <c r="H23"/>
      <c r="I23"/>
    </row>
    <row r="24" spans="1:13" s="18" customFormat="1">
      <c r="A24"/>
      <c r="B24" s="3"/>
      <c r="C24"/>
      <c r="D24" s="9"/>
      <c r="E24"/>
      <c r="F24"/>
      <c r="G24" s="2"/>
      <c r="H24"/>
      <c r="I24"/>
    </row>
    <row r="25" spans="1:13" s="18" customFormat="1">
      <c r="A25"/>
      <c r="B25"/>
      <c r="C25"/>
      <c r="E25" s="6">
        <f>SUM(D21+D23)</f>
        <v>7000</v>
      </c>
      <c r="F25"/>
      <c r="G25" s="2"/>
      <c r="H25"/>
      <c r="I25"/>
    </row>
    <row r="26" spans="1:13" s="18" customFormat="1">
      <c r="A26" s="5" t="s">
        <v>58</v>
      </c>
      <c r="B26"/>
      <c r="C26"/>
      <c r="D26" s="9"/>
      <c r="E26"/>
      <c r="F26"/>
      <c r="G26" s="2"/>
      <c r="H26"/>
      <c r="I26"/>
    </row>
    <row r="27" spans="1:13" s="18" customFormat="1">
      <c r="A27" s="5" t="s">
        <v>59</v>
      </c>
      <c r="B27" t="s">
        <v>60</v>
      </c>
      <c r="C27">
        <v>3</v>
      </c>
      <c r="D27" s="9">
        <v>4000</v>
      </c>
      <c r="E27" s="36">
        <f>C27*D27</f>
        <v>12000</v>
      </c>
      <c r="F27" s="36"/>
      <c r="G27"/>
      <c r="H27"/>
      <c r="I27"/>
    </row>
    <row r="28" spans="1:13" s="18" customFormat="1">
      <c r="A28"/>
      <c r="B28" t="s">
        <v>61</v>
      </c>
      <c r="C28">
        <v>10</v>
      </c>
      <c r="D28" s="9">
        <v>1500</v>
      </c>
      <c r="E28" s="36">
        <f>C28*D28</f>
        <v>15000</v>
      </c>
      <c r="F28" s="36"/>
      <c r="G28"/>
      <c r="H28"/>
      <c r="I28"/>
      <c r="L28" s="21"/>
    </row>
    <row r="29" spans="1:13" s="18" customFormat="1">
      <c r="A29"/>
      <c r="B29" t="s">
        <v>62</v>
      </c>
      <c r="C29">
        <v>20</v>
      </c>
      <c r="D29" s="9">
        <v>50</v>
      </c>
      <c r="E29" s="36">
        <f>C29*D29</f>
        <v>1000</v>
      </c>
      <c r="F29" s="36"/>
      <c r="G29"/>
      <c r="H29"/>
      <c r="I29"/>
      <c r="L29" s="21"/>
    </row>
    <row r="30" spans="1:13" s="18" customFormat="1">
      <c r="A30"/>
      <c r="B30" t="s">
        <v>63</v>
      </c>
      <c r="C30">
        <v>10</v>
      </c>
      <c r="D30" s="9">
        <v>250</v>
      </c>
      <c r="E30" s="39">
        <f>+C30*D30</f>
        <v>2500</v>
      </c>
      <c r="F30" s="39"/>
      <c r="G30"/>
      <c r="H30"/>
      <c r="I30"/>
    </row>
    <row r="31" spans="1:13" s="18" customFormat="1">
      <c r="A31"/>
      <c r="B31" t="s">
        <v>64</v>
      </c>
      <c r="C31">
        <v>10</v>
      </c>
      <c r="D31" s="9">
        <v>250</v>
      </c>
      <c r="E31" s="36">
        <f>+C31*D31</f>
        <v>2500</v>
      </c>
      <c r="F31" s="36"/>
      <c r="H31"/>
      <c r="I31"/>
    </row>
    <row r="32" spans="1:13" s="18" customFormat="1">
      <c r="A32"/>
      <c r="B32"/>
      <c r="C32"/>
      <c r="D32" s="9"/>
      <c r="E32" s="6">
        <f>SUM(E27:E31)</f>
        <v>33000</v>
      </c>
      <c r="F32" s="16"/>
      <c r="G32" s="2"/>
      <c r="H32"/>
      <c r="I32"/>
    </row>
    <row r="33" spans="1:10" s="18" customFormat="1">
      <c r="A33"/>
      <c r="B33"/>
      <c r="C33"/>
      <c r="D33" s="9"/>
      <c r="E33" s="16"/>
      <c r="F33" s="16"/>
      <c r="G33" s="2"/>
      <c r="H33"/>
      <c r="I33"/>
      <c r="J33" s="21"/>
    </row>
    <row r="34" spans="1:10" s="18" customFormat="1">
      <c r="A34" s="5" t="s">
        <v>65</v>
      </c>
      <c r="B34" t="s">
        <v>66</v>
      </c>
      <c r="C34">
        <v>3</v>
      </c>
      <c r="D34" s="9">
        <v>1500</v>
      </c>
      <c r="E34" s="16">
        <f>C34*D34</f>
        <v>4500</v>
      </c>
      <c r="F34" s="16"/>
      <c r="G34" s="2"/>
      <c r="H34"/>
      <c r="I34"/>
    </row>
    <row r="35" spans="1:10" s="18" customFormat="1">
      <c r="A35"/>
      <c r="B35" t="s">
        <v>67</v>
      </c>
      <c r="C35">
        <v>3</v>
      </c>
      <c r="D35" s="9">
        <v>1200</v>
      </c>
      <c r="E35" s="16">
        <v>3000</v>
      </c>
      <c r="F35" s="16"/>
      <c r="G35" s="2"/>
      <c r="H35"/>
      <c r="I35"/>
    </row>
    <row r="36" spans="1:10" s="18" customFormat="1">
      <c r="A36"/>
      <c r="B36" t="s">
        <v>68</v>
      </c>
      <c r="C36">
        <v>3</v>
      </c>
      <c r="D36" s="9">
        <v>1500</v>
      </c>
      <c r="E36" s="16">
        <f>C36*D36</f>
        <v>4500</v>
      </c>
      <c r="F36" s="16"/>
      <c r="G36" s="2"/>
      <c r="H36"/>
      <c r="I36"/>
    </row>
    <row r="37" spans="1:10" s="18" customFormat="1">
      <c r="A37"/>
      <c r="B37" t="s">
        <v>69</v>
      </c>
      <c r="C37">
        <v>3</v>
      </c>
      <c r="D37" s="9">
        <v>1000</v>
      </c>
      <c r="E37" s="16">
        <f>C37*D37</f>
        <v>3000</v>
      </c>
      <c r="F37" s="16"/>
      <c r="H37"/>
      <c r="I37"/>
    </row>
    <row r="38" spans="1:10" s="18" customFormat="1">
      <c r="A38"/>
      <c r="B38"/>
      <c r="C38"/>
      <c r="D38" s="9"/>
      <c r="E38" s="38">
        <f>SUM(E34:E37)</f>
        <v>15000</v>
      </c>
      <c r="F38" s="16"/>
      <c r="G38" s="38"/>
      <c r="H38"/>
      <c r="I38"/>
    </row>
    <row r="39" spans="1:10" s="18" customFormat="1">
      <c r="A39"/>
      <c r="B39"/>
      <c r="C39"/>
      <c r="D39" s="9"/>
      <c r="E39" s="16"/>
      <c r="F39" s="16"/>
      <c r="G39" s="2"/>
      <c r="H39"/>
      <c r="I39"/>
    </row>
    <row r="40" spans="1:10" s="18" customFormat="1">
      <c r="A40" s="5" t="s">
        <v>70</v>
      </c>
      <c r="B40" t="s">
        <v>14</v>
      </c>
      <c r="C40">
        <v>14</v>
      </c>
      <c r="D40" s="9">
        <v>2000</v>
      </c>
      <c r="E40" s="36">
        <v>21000</v>
      </c>
      <c r="F40" s="36"/>
      <c r="G40" s="6"/>
      <c r="H40" s="15"/>
      <c r="I40"/>
    </row>
    <row r="41" spans="1:10" s="18" customFormat="1">
      <c r="A41" s="5"/>
      <c r="B41" t="s">
        <v>15</v>
      </c>
      <c r="C41"/>
      <c r="D41" s="9"/>
      <c r="E41" s="36">
        <v>3500</v>
      </c>
      <c r="F41" s="36"/>
      <c r="G41" s="6"/>
      <c r="H41" s="15"/>
      <c r="I41"/>
    </row>
    <row r="42" spans="1:10" s="18" customFormat="1">
      <c r="A42" s="5"/>
      <c r="B42" t="s">
        <v>16</v>
      </c>
      <c r="C42"/>
      <c r="D42" s="9"/>
      <c r="E42" s="36">
        <v>3500</v>
      </c>
      <c r="F42" s="36"/>
      <c r="G42" s="6"/>
      <c r="H42" s="15"/>
      <c r="I42"/>
    </row>
    <row r="43" spans="1:10" s="18" customFormat="1">
      <c r="A43" s="5"/>
      <c r="B43" t="s">
        <v>71</v>
      </c>
      <c r="C43"/>
      <c r="D43" s="9"/>
      <c r="E43" s="40">
        <v>3500</v>
      </c>
      <c r="F43" s="40"/>
      <c r="G43" s="6"/>
      <c r="H43" s="15"/>
      <c r="I43"/>
    </row>
    <row r="44" spans="1:10" s="18" customFormat="1">
      <c r="A44"/>
      <c r="B44" t="s">
        <v>72</v>
      </c>
      <c r="C44">
        <v>1</v>
      </c>
      <c r="D44" s="9">
        <v>5000</v>
      </c>
      <c r="E44" s="40">
        <v>1500</v>
      </c>
      <c r="F44" s="40"/>
      <c r="H44"/>
      <c r="I44"/>
    </row>
    <row r="45" spans="1:10" s="18" customFormat="1">
      <c r="A45"/>
      <c r="B45"/>
      <c r="C45"/>
      <c r="D45" s="9"/>
      <c r="E45" s="6">
        <f>SUM(E40:E44)</f>
        <v>33000</v>
      </c>
      <c r="F45" s="7"/>
      <c r="G45" s="6"/>
      <c r="H45"/>
      <c r="I45"/>
    </row>
    <row r="46" spans="1:10" s="18" customFormat="1">
      <c r="A46"/>
      <c r="B46"/>
      <c r="C46"/>
      <c r="D46" s="9"/>
      <c r="E46" s="7"/>
      <c r="F46" s="7"/>
      <c r="G46" s="6"/>
      <c r="H46"/>
      <c r="I46"/>
    </row>
    <row r="47" spans="1:10" s="18" customFormat="1">
      <c r="A47" s="5" t="s">
        <v>73</v>
      </c>
      <c r="B47"/>
      <c r="C47"/>
      <c r="D47"/>
      <c r="E47" s="35">
        <v>3500</v>
      </c>
      <c r="F47" s="35"/>
      <c r="G47" s="2"/>
      <c r="H47"/>
      <c r="I47" s="11"/>
    </row>
    <row r="48" spans="1:10" s="18" customFormat="1">
      <c r="A48" s="5" t="s">
        <v>74</v>
      </c>
      <c r="B48"/>
      <c r="C48"/>
      <c r="D48"/>
      <c r="E48" s="39">
        <v>2500</v>
      </c>
      <c r="F48" s="39"/>
      <c r="G48"/>
      <c r="H48"/>
      <c r="I48"/>
    </row>
    <row r="49" spans="1:9" s="18" customFormat="1">
      <c r="A49" s="5" t="s">
        <v>75</v>
      </c>
      <c r="B49"/>
      <c r="C49"/>
      <c r="D49"/>
      <c r="E49" s="35">
        <v>2500</v>
      </c>
      <c r="F49" s="35"/>
      <c r="G49"/>
      <c r="H49"/>
      <c r="I49"/>
    </row>
    <row r="50" spans="1:9" s="18" customFormat="1">
      <c r="A50"/>
      <c r="B50"/>
      <c r="C50"/>
      <c r="D50"/>
      <c r="E50" s="12">
        <f>SUM(E47:E49)</f>
        <v>8500</v>
      </c>
      <c r="F50"/>
      <c r="H50"/>
      <c r="I50"/>
    </row>
    <row r="51" spans="1:9" s="18" customFormat="1">
      <c r="A51"/>
      <c r="B51"/>
      <c r="C51"/>
      <c r="D51"/>
      <c r="E51"/>
      <c r="F51"/>
      <c r="G51" s="9"/>
      <c r="H51"/>
      <c r="I51"/>
    </row>
    <row r="52" spans="1:9" s="18" customFormat="1">
      <c r="A52"/>
      <c r="B52"/>
      <c r="C52"/>
      <c r="D52"/>
      <c r="E52"/>
      <c r="F52"/>
      <c r="G52" s="9"/>
      <c r="H52"/>
      <c r="I52"/>
    </row>
    <row r="53" spans="1:9" s="18" customFormat="1">
      <c r="A53" s="10" t="s">
        <v>76</v>
      </c>
      <c r="B53"/>
      <c r="C53"/>
      <c r="D53"/>
      <c r="E53" s="6">
        <f>SUM(E12+E19+E25+E32+E38+G40+E45+E50)</f>
        <v>134000</v>
      </c>
      <c r="F53"/>
      <c r="H53"/>
      <c r="I53"/>
    </row>
    <row r="54" spans="1:9">
      <c r="C54" s="10"/>
      <c r="G54" s="6"/>
    </row>
    <row r="55" spans="1:9">
      <c r="A55" s="5" t="s">
        <v>8</v>
      </c>
      <c r="C55" s="10"/>
      <c r="G55" s="6"/>
    </row>
    <row r="56" spans="1:9">
      <c r="A56" s="17" t="s">
        <v>77</v>
      </c>
      <c r="E56" s="12">
        <v>9000</v>
      </c>
    </row>
    <row r="57" spans="1:9">
      <c r="G57" s="9"/>
    </row>
    <row r="58" spans="1:9">
      <c r="A58" s="5" t="s">
        <v>78</v>
      </c>
      <c r="E58" s="12">
        <f>SUM(E53-E56)</f>
        <v>125000</v>
      </c>
    </row>
    <row r="62" spans="1:9">
      <c r="A62" s="5" t="s">
        <v>79</v>
      </c>
    </row>
    <row r="63" spans="1:9">
      <c r="A63" t="s">
        <v>80</v>
      </c>
      <c r="B63" s="9">
        <f>+D21</f>
        <v>2000</v>
      </c>
      <c r="F63">
        <v>2000</v>
      </c>
    </row>
    <row r="64" spans="1:9">
      <c r="A64" t="s">
        <v>5</v>
      </c>
      <c r="B64" s="9">
        <f>+D23</f>
        <v>5000</v>
      </c>
    </row>
    <row r="65" spans="1:3">
      <c r="A65" t="s">
        <v>81</v>
      </c>
      <c r="B65" s="9">
        <f>+E48</f>
        <v>2500</v>
      </c>
    </row>
    <row r="66" spans="1:3">
      <c r="A66" t="s">
        <v>82</v>
      </c>
      <c r="B66" s="9">
        <f>+E30</f>
        <v>2500</v>
      </c>
    </row>
    <row r="67" spans="1:3">
      <c r="A67" t="s">
        <v>83</v>
      </c>
      <c r="B67" s="9">
        <f>+E38</f>
        <v>15000</v>
      </c>
    </row>
    <row r="68" spans="1:3">
      <c r="A68" t="s">
        <v>71</v>
      </c>
      <c r="B68" s="9">
        <f>+E43</f>
        <v>3500</v>
      </c>
    </row>
    <row r="69" spans="1:3">
      <c r="A69" t="s">
        <v>72</v>
      </c>
      <c r="B69" s="9">
        <f>+E44</f>
        <v>1500</v>
      </c>
    </row>
    <row r="70" spans="1:3">
      <c r="A70" s="5" t="s">
        <v>84</v>
      </c>
      <c r="B70" s="12">
        <f>SUM(B63:B69)</f>
        <v>32000</v>
      </c>
    </row>
    <row r="71" spans="1:3">
      <c r="A71" s="5" t="s">
        <v>85</v>
      </c>
      <c r="B71" s="12">
        <f>SUM(E53-B70)</f>
        <v>102000</v>
      </c>
      <c r="C71" s="9">
        <f>+E12+D15+D16+E31+E27+E29+E28+E40+E41+E42+E47+E49</f>
        <v>99000</v>
      </c>
    </row>
    <row r="73" spans="1:3">
      <c r="A73" s="5"/>
      <c r="B73" s="12"/>
    </row>
    <row r="82" spans="1:6">
      <c r="A82" s="5"/>
      <c r="B82" s="5"/>
      <c r="C82" s="5"/>
      <c r="D82" s="5"/>
      <c r="E82" s="5"/>
      <c r="F82" s="5"/>
    </row>
    <row r="84" spans="1:6">
      <c r="E84" s="13"/>
      <c r="F84" s="13"/>
    </row>
    <row r="85" spans="1:6">
      <c r="E85" s="13"/>
      <c r="F85" s="13"/>
    </row>
    <row r="86" spans="1:6">
      <c r="E86" s="13"/>
      <c r="F86" s="13"/>
    </row>
    <row r="87" spans="1:6">
      <c r="E87" s="13"/>
      <c r="F87" s="13"/>
    </row>
    <row r="88" spans="1:6">
      <c r="E88" s="13"/>
      <c r="F88" s="13"/>
    </row>
    <row r="89" spans="1:6">
      <c r="E89" s="13"/>
      <c r="F89" s="13"/>
    </row>
    <row r="90" spans="1:6">
      <c r="E90" s="13"/>
      <c r="F90" s="13"/>
    </row>
    <row r="91" spans="1:6">
      <c r="E91" s="13"/>
      <c r="F91" s="13"/>
    </row>
    <row r="92" spans="1:6">
      <c r="E92" s="13"/>
      <c r="F92" s="13"/>
    </row>
    <row r="93" spans="1:6">
      <c r="B93" s="5"/>
      <c r="C93" s="5"/>
      <c r="E93" s="13"/>
      <c r="F93" s="13"/>
    </row>
    <row r="94" spans="1:6">
      <c r="B94" s="5"/>
      <c r="E94" s="14"/>
      <c r="F94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9"/>
  <sheetViews>
    <sheetView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146" t="s">
        <v>28</v>
      </c>
      <c r="E1" s="146"/>
      <c r="F1" s="5" t="s">
        <v>29</v>
      </c>
      <c r="G1" s="5" t="s">
        <v>20</v>
      </c>
    </row>
    <row r="2" spans="1:13" ht="16.5" thickBot="1">
      <c r="G2" s="2"/>
    </row>
    <row r="3" spans="1:13">
      <c r="A3" s="5" t="s">
        <v>30</v>
      </c>
      <c r="B3" s="1">
        <v>42644</v>
      </c>
      <c r="C3" t="s">
        <v>31</v>
      </c>
      <c r="D3" s="8">
        <v>4000</v>
      </c>
      <c r="E3" s="8">
        <v>4000</v>
      </c>
      <c r="F3" s="49">
        <v>3999.88</v>
      </c>
      <c r="G3" s="2"/>
      <c r="J3" s="28" t="s">
        <v>32</v>
      </c>
      <c r="K3" s="19"/>
      <c r="L3" s="19"/>
      <c r="M3" s="20"/>
    </row>
    <row r="4" spans="1:13">
      <c r="B4" s="1">
        <v>42917</v>
      </c>
      <c r="C4" t="s">
        <v>33</v>
      </c>
      <c r="D4" s="8">
        <v>4000</v>
      </c>
      <c r="F4" s="49"/>
      <c r="G4" s="2"/>
      <c r="J4" s="29" t="s">
        <v>34</v>
      </c>
      <c r="K4" s="21"/>
      <c r="L4" s="21"/>
      <c r="M4" s="22"/>
    </row>
    <row r="5" spans="1:13">
      <c r="B5" s="1">
        <v>42979</v>
      </c>
      <c r="C5" t="s">
        <v>35</v>
      </c>
      <c r="D5" s="8">
        <v>4000</v>
      </c>
      <c r="F5" s="49"/>
      <c r="G5" s="2"/>
      <c r="J5" s="30"/>
      <c r="K5" s="21" t="s">
        <v>36</v>
      </c>
      <c r="L5" s="21" t="s">
        <v>37</v>
      </c>
      <c r="M5" s="22" t="s">
        <v>38</v>
      </c>
    </row>
    <row r="6" spans="1:13">
      <c r="B6" s="1">
        <v>43009</v>
      </c>
      <c r="C6" t="s">
        <v>39</v>
      </c>
      <c r="D6" s="8">
        <v>4000</v>
      </c>
      <c r="F6" s="49"/>
      <c r="G6" s="2"/>
      <c r="J6" s="30"/>
      <c r="K6" s="26">
        <v>5</v>
      </c>
      <c r="L6" s="21">
        <v>100</v>
      </c>
      <c r="M6" s="22">
        <v>5</v>
      </c>
    </row>
    <row r="7" spans="1:13">
      <c r="B7" s="1">
        <v>43040</v>
      </c>
      <c r="C7" t="s">
        <v>40</v>
      </c>
      <c r="D7" s="8">
        <v>4000</v>
      </c>
      <c r="F7" s="49"/>
      <c r="G7" s="2"/>
      <c r="J7" s="30" t="s">
        <v>41</v>
      </c>
      <c r="K7" s="26">
        <f>SUM(K6*L6)*M6</f>
        <v>2500</v>
      </c>
      <c r="L7" s="21"/>
      <c r="M7" s="22"/>
    </row>
    <row r="8" spans="1:13">
      <c r="B8" s="1">
        <v>43070</v>
      </c>
      <c r="C8" t="s">
        <v>31</v>
      </c>
      <c r="D8" s="8">
        <v>5000</v>
      </c>
      <c r="E8" t="s">
        <v>42</v>
      </c>
      <c r="F8" s="49"/>
      <c r="G8" s="2"/>
      <c r="J8" s="30"/>
      <c r="K8" s="21"/>
      <c r="L8" s="21"/>
      <c r="M8" s="22"/>
    </row>
    <row r="9" spans="1:13">
      <c r="B9" s="1" t="s">
        <v>43</v>
      </c>
      <c r="D9" s="8">
        <v>4500</v>
      </c>
      <c r="F9" s="49"/>
      <c r="G9" s="37">
        <f>SUM(D3:D9)</f>
        <v>29500</v>
      </c>
      <c r="J9" s="30"/>
      <c r="K9" s="21"/>
      <c r="L9" s="21"/>
      <c r="M9" s="22"/>
    </row>
    <row r="10" spans="1:13">
      <c r="B10" s="1"/>
      <c r="D10" s="9"/>
      <c r="F10" s="49"/>
      <c r="G10" s="2"/>
      <c r="J10" s="29" t="s">
        <v>44</v>
      </c>
      <c r="K10" s="21"/>
      <c r="L10" s="21"/>
      <c r="M10" s="22"/>
    </row>
    <row r="11" spans="1:13">
      <c r="B11" s="1"/>
      <c r="D11" s="9"/>
      <c r="F11" s="49"/>
      <c r="G11" s="2"/>
      <c r="J11" s="30"/>
      <c r="K11" s="21" t="s">
        <v>36</v>
      </c>
      <c r="L11" s="21" t="s">
        <v>37</v>
      </c>
      <c r="M11" s="22" t="s">
        <v>38</v>
      </c>
    </row>
    <row r="12" spans="1:13">
      <c r="B12" s="1"/>
      <c r="D12" s="9"/>
      <c r="F12" s="49"/>
      <c r="G12" s="2"/>
      <c r="J12" s="30"/>
      <c r="K12" s="26">
        <v>10</v>
      </c>
      <c r="L12" s="21">
        <v>900</v>
      </c>
      <c r="M12" s="22">
        <v>1</v>
      </c>
    </row>
    <row r="13" spans="1:13" ht="16.5" thickBot="1">
      <c r="D13" s="8"/>
      <c r="F13" s="49"/>
      <c r="G13" s="2"/>
      <c r="J13" s="31" t="s">
        <v>41</v>
      </c>
      <c r="K13" s="32">
        <f>SUM(K12*L12)*M12</f>
        <v>9000</v>
      </c>
      <c r="L13" s="23"/>
      <c r="M13" s="24"/>
    </row>
    <row r="14" spans="1:13">
      <c r="A14" s="5" t="s">
        <v>86</v>
      </c>
      <c r="B14" s="3" t="s">
        <v>87</v>
      </c>
      <c r="D14" s="35">
        <v>2000</v>
      </c>
      <c r="E14" s="49">
        <v>375</v>
      </c>
      <c r="F14" s="49">
        <v>375</v>
      </c>
      <c r="G14" s="2">
        <f>D14-F14</f>
        <v>1625</v>
      </c>
      <c r="J14" s="30"/>
      <c r="K14" s="21"/>
      <c r="L14" s="21"/>
      <c r="M14" s="22"/>
    </row>
    <row r="15" spans="1:13">
      <c r="B15" s="3" t="s">
        <v>88</v>
      </c>
      <c r="D15" s="35">
        <v>6000</v>
      </c>
      <c r="E15" s="49"/>
      <c r="F15" s="49"/>
      <c r="G15" s="2">
        <f>D15-F15</f>
        <v>6000</v>
      </c>
      <c r="J15" s="30" t="s">
        <v>48</v>
      </c>
      <c r="K15" s="21"/>
      <c r="L15" s="25">
        <f>SUM(K7+K13)</f>
        <v>11500</v>
      </c>
      <c r="M15" s="22"/>
    </row>
    <row r="16" spans="1:13">
      <c r="B16" s="3" t="s">
        <v>89</v>
      </c>
      <c r="D16" s="8"/>
      <c r="E16" s="49"/>
      <c r="F16" s="49"/>
      <c r="G16" s="2"/>
      <c r="J16" s="30" t="s">
        <v>50</v>
      </c>
      <c r="K16" s="21"/>
      <c r="L16" s="26">
        <f>SUM(L15/6)</f>
        <v>1916.6666666666667</v>
      </c>
      <c r="M16" s="22"/>
    </row>
    <row r="17" spans="1:13">
      <c r="B17" s="3"/>
      <c r="D17" s="8"/>
      <c r="E17" s="49"/>
      <c r="F17" s="49"/>
      <c r="G17" s="2"/>
      <c r="J17" s="30" t="s">
        <v>51</v>
      </c>
      <c r="K17" s="21"/>
      <c r="L17" s="26">
        <f>SUM(L15*0.019)</f>
        <v>218.5</v>
      </c>
      <c r="M17" s="22"/>
    </row>
    <row r="18" spans="1:13">
      <c r="A18" s="5" t="s">
        <v>52</v>
      </c>
      <c r="B18" s="3" t="s">
        <v>53</v>
      </c>
      <c r="D18" s="39">
        <v>2000</v>
      </c>
      <c r="E18" s="49">
        <v>2000</v>
      </c>
      <c r="F18" s="49">
        <v>2000</v>
      </c>
      <c r="G18" s="2"/>
      <c r="J18" s="30"/>
      <c r="K18" s="21"/>
      <c r="L18" s="26">
        <f>SUM(L16:L17)</f>
        <v>2135.166666666667</v>
      </c>
      <c r="M18" s="22"/>
    </row>
    <row r="19" spans="1:13" ht="16.5" thickBot="1">
      <c r="B19" s="3" t="s">
        <v>54</v>
      </c>
      <c r="D19" s="8">
        <v>0</v>
      </c>
      <c r="E19" s="49"/>
      <c r="F19" s="49"/>
      <c r="G19" s="2"/>
      <c r="J19" s="33" t="s">
        <v>55</v>
      </c>
      <c r="K19" s="34"/>
      <c r="L19" s="27">
        <f>SUM(L15-L18)</f>
        <v>9364.8333333333321</v>
      </c>
      <c r="M19" s="24"/>
    </row>
    <row r="20" spans="1:13">
      <c r="A20" t="s">
        <v>56</v>
      </c>
      <c r="B20" s="4" t="s">
        <v>57</v>
      </c>
      <c r="D20" s="39">
        <v>5000</v>
      </c>
      <c r="E20" s="49">
        <v>213</v>
      </c>
      <c r="F20" s="49">
        <v>213</v>
      </c>
      <c r="G20" s="6">
        <f>SUM(D14+D15+D18+D20)</f>
        <v>15000</v>
      </c>
    </row>
    <row r="21" spans="1:13">
      <c r="B21" s="3"/>
      <c r="D21" s="9"/>
      <c r="G21" s="2"/>
    </row>
    <row r="22" spans="1:13">
      <c r="D22" s="9"/>
      <c r="G22" s="2"/>
    </row>
    <row r="23" spans="1:13">
      <c r="A23" s="5" t="s">
        <v>58</v>
      </c>
      <c r="D23" s="9"/>
      <c r="G23" s="2"/>
    </row>
    <row r="24" spans="1:13">
      <c r="A24" s="5" t="s">
        <v>59</v>
      </c>
      <c r="B24" t="s">
        <v>60</v>
      </c>
      <c r="C24">
        <v>3</v>
      </c>
      <c r="D24" s="9">
        <v>4000</v>
      </c>
      <c r="E24" s="36">
        <f>C24*D24</f>
        <v>12000</v>
      </c>
      <c r="F24" s="36"/>
    </row>
    <row r="25" spans="1:13">
      <c r="B25" t="s">
        <v>61</v>
      </c>
      <c r="C25">
        <v>10</v>
      </c>
      <c r="D25" s="9">
        <v>1500</v>
      </c>
      <c r="E25" s="36">
        <f>C25*D25</f>
        <v>15000</v>
      </c>
      <c r="F25" s="36"/>
      <c r="L25" s="21"/>
    </row>
    <row r="26" spans="1:13">
      <c r="B26" t="s">
        <v>62</v>
      </c>
      <c r="C26">
        <v>20</v>
      </c>
      <c r="D26" s="9">
        <v>50</v>
      </c>
      <c r="E26" s="36">
        <f>C26*D26</f>
        <v>1000</v>
      </c>
      <c r="F26" s="36"/>
      <c r="L26" s="21"/>
    </row>
    <row r="27" spans="1:13">
      <c r="B27" t="s">
        <v>63</v>
      </c>
      <c r="C27">
        <v>10</v>
      </c>
      <c r="D27" s="9">
        <v>250</v>
      </c>
      <c r="E27" s="39">
        <f>+C27*D27</f>
        <v>2500</v>
      </c>
      <c r="F27" s="39"/>
    </row>
    <row r="28" spans="1:13">
      <c r="B28" t="s">
        <v>64</v>
      </c>
      <c r="C28">
        <v>10</v>
      </c>
      <c r="D28" s="9">
        <v>250</v>
      </c>
      <c r="E28" s="36">
        <f>+C28*D28</f>
        <v>2500</v>
      </c>
      <c r="F28" s="36"/>
      <c r="G28" s="6">
        <f>SUM(E24:E28)</f>
        <v>33000</v>
      </c>
    </row>
    <row r="29" spans="1:13">
      <c r="D29" s="9"/>
      <c r="E29" s="16"/>
      <c r="F29" s="16"/>
      <c r="G29" s="2"/>
    </row>
    <row r="30" spans="1:13">
      <c r="D30" s="9"/>
      <c r="E30" s="16"/>
      <c r="F30" s="16"/>
      <c r="G30" s="2"/>
      <c r="J30" s="21"/>
    </row>
    <row r="31" spans="1:13">
      <c r="A31" s="5" t="s">
        <v>65</v>
      </c>
      <c r="B31" t="s">
        <v>66</v>
      </c>
      <c r="C31">
        <v>3</v>
      </c>
      <c r="D31" s="9">
        <v>1500</v>
      </c>
      <c r="E31" s="16">
        <f>C31*D31</f>
        <v>4500</v>
      </c>
      <c r="F31" s="16"/>
      <c r="G31" s="2"/>
    </row>
    <row r="32" spans="1:13">
      <c r="B32" t="s">
        <v>67</v>
      </c>
      <c r="C32">
        <v>3</v>
      </c>
      <c r="D32" s="9">
        <v>1200</v>
      </c>
      <c r="E32" s="16">
        <v>3000</v>
      </c>
      <c r="F32" s="16"/>
      <c r="G32" s="2"/>
    </row>
    <row r="33" spans="1:9">
      <c r="B33" t="s">
        <v>68</v>
      </c>
      <c r="C33">
        <v>3</v>
      </c>
      <c r="D33" s="9">
        <v>1500</v>
      </c>
      <c r="E33" s="16">
        <f>C33*D33</f>
        <v>4500</v>
      </c>
      <c r="F33" s="16"/>
      <c r="G33" s="2"/>
    </row>
    <row r="34" spans="1:9">
      <c r="B34" t="s">
        <v>69</v>
      </c>
      <c r="C34">
        <v>3</v>
      </c>
      <c r="D34" s="9">
        <v>1000</v>
      </c>
      <c r="E34" s="16">
        <f>C34*D34</f>
        <v>3000</v>
      </c>
      <c r="F34" s="16"/>
      <c r="G34" s="38">
        <f>SUM(E31:E34)</f>
        <v>15000</v>
      </c>
    </row>
    <row r="35" spans="1:9">
      <c r="D35" s="9"/>
      <c r="E35" s="16"/>
      <c r="F35" s="16"/>
      <c r="G35" s="2"/>
    </row>
    <row r="36" spans="1:9">
      <c r="A36" s="5" t="s">
        <v>70</v>
      </c>
      <c r="B36" t="s">
        <v>14</v>
      </c>
      <c r="C36">
        <v>14</v>
      </c>
      <c r="D36" s="9">
        <v>2000</v>
      </c>
      <c r="E36" s="36">
        <v>21000</v>
      </c>
      <c r="F36" s="36"/>
      <c r="G36" s="6"/>
      <c r="H36" s="15"/>
    </row>
    <row r="37" spans="1:9">
      <c r="A37" s="5"/>
      <c r="B37" t="s">
        <v>90</v>
      </c>
      <c r="D37" s="9"/>
      <c r="E37" s="36">
        <v>3500</v>
      </c>
      <c r="F37" s="36"/>
      <c r="G37" s="6"/>
      <c r="H37" s="15"/>
    </row>
    <row r="38" spans="1:9">
      <c r="A38" s="5"/>
      <c r="B38" t="s">
        <v>16</v>
      </c>
      <c r="D38" s="9"/>
      <c r="E38" s="36">
        <v>3500</v>
      </c>
      <c r="F38" s="36"/>
      <c r="G38" s="6"/>
      <c r="H38" s="15"/>
    </row>
    <row r="39" spans="1:9">
      <c r="A39" s="5"/>
      <c r="B39" t="s">
        <v>71</v>
      </c>
      <c r="D39" s="9"/>
      <c r="E39" s="40">
        <v>3500</v>
      </c>
      <c r="F39" s="40"/>
      <c r="G39" s="6"/>
      <c r="H39" s="15"/>
    </row>
    <row r="40" spans="1:9">
      <c r="B40" t="s">
        <v>72</v>
      </c>
      <c r="C40">
        <v>1</v>
      </c>
      <c r="D40" s="9">
        <v>5000</v>
      </c>
      <c r="E40" s="40">
        <v>1500</v>
      </c>
      <c r="F40" s="40"/>
      <c r="G40" s="6">
        <f>SUM(E36:E40)</f>
        <v>33000</v>
      </c>
    </row>
    <row r="41" spans="1:9">
      <c r="D41" s="9"/>
      <c r="E41" s="7"/>
      <c r="F41" s="7"/>
      <c r="G41" s="6"/>
    </row>
    <row r="42" spans="1:9">
      <c r="A42" s="5" t="s">
        <v>73</v>
      </c>
      <c r="E42" s="35">
        <v>3500</v>
      </c>
      <c r="F42" s="35"/>
      <c r="G42" s="2"/>
      <c r="I42" s="11"/>
    </row>
    <row r="43" spans="1:9">
      <c r="A43" s="5" t="s">
        <v>74</v>
      </c>
      <c r="E43" s="39">
        <v>2500</v>
      </c>
      <c r="F43" s="39"/>
    </row>
    <row r="44" spans="1:9">
      <c r="A44" s="5" t="s">
        <v>75</v>
      </c>
      <c r="E44" s="35">
        <v>2500</v>
      </c>
      <c r="F44" s="35"/>
    </row>
    <row r="45" spans="1:9">
      <c r="G45" s="12">
        <f>SUM(E42:E44)</f>
        <v>8500</v>
      </c>
    </row>
    <row r="46" spans="1:9">
      <c r="G46" s="9"/>
    </row>
    <row r="47" spans="1:9">
      <c r="G47" s="9"/>
    </row>
    <row r="48" spans="1:9">
      <c r="A48" s="10" t="s">
        <v>76</v>
      </c>
      <c r="G48" s="6">
        <f>SUM(G9+G20+G28+G34+G36+G40+G45)</f>
        <v>134000</v>
      </c>
    </row>
    <row r="49" spans="1:7">
      <c r="C49" s="10"/>
      <c r="G49" s="6"/>
    </row>
    <row r="50" spans="1:7">
      <c r="A50" s="5" t="s">
        <v>8</v>
      </c>
      <c r="C50" s="10"/>
      <c r="G50" s="6"/>
    </row>
    <row r="51" spans="1:7">
      <c r="A51" s="17" t="s">
        <v>77</v>
      </c>
      <c r="G51" s="12">
        <v>9000</v>
      </c>
    </row>
    <row r="52" spans="1:7">
      <c r="G52" s="9"/>
    </row>
    <row r="53" spans="1:7">
      <c r="A53" s="5" t="s">
        <v>78</v>
      </c>
      <c r="G53" s="12">
        <f>SUM(G48-G51)</f>
        <v>125000</v>
      </c>
    </row>
    <row r="57" spans="1:7">
      <c r="A57" s="5" t="s">
        <v>79</v>
      </c>
    </row>
    <row r="58" spans="1:7">
      <c r="A58" t="s">
        <v>80</v>
      </c>
      <c r="B58" s="9">
        <f>+D18</f>
        <v>2000</v>
      </c>
      <c r="F58">
        <v>2000</v>
      </c>
    </row>
    <row r="59" spans="1:7">
      <c r="A59" t="s">
        <v>5</v>
      </c>
      <c r="B59" s="9">
        <f>+D20</f>
        <v>5000</v>
      </c>
    </row>
    <row r="60" spans="1:7">
      <c r="A60" t="s">
        <v>81</v>
      </c>
      <c r="B60" s="9">
        <f>+E43</f>
        <v>2500</v>
      </c>
    </row>
    <row r="61" spans="1:7">
      <c r="A61" t="s">
        <v>82</v>
      </c>
      <c r="B61" s="9">
        <f>+E27</f>
        <v>2500</v>
      </c>
    </row>
    <row r="62" spans="1:7">
      <c r="A62" t="s">
        <v>83</v>
      </c>
      <c r="B62" s="9">
        <f>+G34</f>
        <v>15000</v>
      </c>
    </row>
    <row r="63" spans="1:7">
      <c r="A63" t="s">
        <v>71</v>
      </c>
      <c r="B63" s="9">
        <f>+E39</f>
        <v>3500</v>
      </c>
    </row>
    <row r="64" spans="1:7">
      <c r="A64" t="s">
        <v>72</v>
      </c>
      <c r="B64" s="9">
        <f>+E40</f>
        <v>1500</v>
      </c>
    </row>
    <row r="65" spans="1:6">
      <c r="A65" s="5" t="s">
        <v>84</v>
      </c>
      <c r="B65" s="12">
        <f>SUM(B58:B64)</f>
        <v>32000</v>
      </c>
    </row>
    <row r="66" spans="1:6">
      <c r="A66" s="5" t="s">
        <v>85</v>
      </c>
      <c r="B66" s="12">
        <f>SUM(G48-B65)</f>
        <v>102000</v>
      </c>
      <c r="C66" s="9">
        <f>+G9+D14+D15+E28+E24+E26+E25+E36+E37+E38+E42+E44</f>
        <v>102000</v>
      </c>
    </row>
    <row r="68" spans="1:6">
      <c r="A68" s="5"/>
      <c r="B68" s="12"/>
    </row>
    <row r="77" spans="1:6">
      <c r="A77" s="5"/>
      <c r="B77" s="5"/>
      <c r="C77" s="5"/>
      <c r="D77" s="5"/>
      <c r="E77" s="5"/>
      <c r="F77" s="5"/>
    </row>
    <row r="79" spans="1:6">
      <c r="E79" s="13"/>
      <c r="F79" s="13"/>
    </row>
    <row r="80" spans="1:6">
      <c r="E80" s="13"/>
      <c r="F80" s="13"/>
    </row>
    <row r="81" spans="2:6">
      <c r="E81" s="13"/>
      <c r="F81" s="13"/>
    </row>
    <row r="82" spans="2:6">
      <c r="E82" s="13"/>
      <c r="F82" s="13"/>
    </row>
    <row r="83" spans="2:6">
      <c r="E83" s="13"/>
      <c r="F83" s="13"/>
    </row>
    <row r="84" spans="2:6">
      <c r="E84" s="13"/>
      <c r="F84" s="13"/>
    </row>
    <row r="85" spans="2:6">
      <c r="E85" s="13"/>
      <c r="F85" s="13"/>
    </row>
    <row r="86" spans="2:6">
      <c r="E86" s="13"/>
      <c r="F86" s="13"/>
    </row>
    <row r="87" spans="2:6">
      <c r="E87" s="13"/>
      <c r="F87" s="13"/>
    </row>
    <row r="88" spans="2:6">
      <c r="B88" s="5"/>
      <c r="C88" s="5"/>
      <c r="E88" s="13"/>
      <c r="F88" s="13"/>
    </row>
    <row r="89" spans="2:6">
      <c r="B89" s="5"/>
      <c r="E89" s="14"/>
      <c r="F89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0" workbookViewId="0">
      <selection activeCell="B25" sqref="B25"/>
    </sheetView>
  </sheetViews>
  <sheetFormatPr defaultRowHeight="15.75"/>
  <cols>
    <col min="1" max="1" width="27" customWidth="1"/>
    <col min="2" max="2" width="10.125" bestFit="1" customWidth="1"/>
    <col min="3" max="3" width="35.875" customWidth="1"/>
    <col min="5" max="5" width="11.375" customWidth="1"/>
  </cols>
  <sheetData>
    <row r="1" spans="1:6">
      <c r="A1" s="41" t="s">
        <v>91</v>
      </c>
      <c r="B1" s="42"/>
      <c r="C1" s="41" t="s">
        <v>92</v>
      </c>
      <c r="D1" s="41" t="s">
        <v>93</v>
      </c>
      <c r="E1" s="41" t="s">
        <v>94</v>
      </c>
    </row>
    <row r="2" spans="1:6">
      <c r="A2" s="42"/>
      <c r="B2" s="42"/>
      <c r="C2" s="42"/>
      <c r="D2" s="42"/>
      <c r="E2" s="42"/>
    </row>
    <row r="3" spans="1:6">
      <c r="A3" s="42" t="s">
        <v>95</v>
      </c>
      <c r="B3" s="47">
        <v>1400</v>
      </c>
      <c r="C3" s="48" t="s">
        <v>96</v>
      </c>
      <c r="D3" s="42"/>
      <c r="E3" s="42" t="s">
        <v>97</v>
      </c>
    </row>
    <row r="4" spans="1:6">
      <c r="A4" s="42" t="s">
        <v>98</v>
      </c>
      <c r="B4" s="47">
        <v>375</v>
      </c>
      <c r="C4" s="48" t="s">
        <v>96</v>
      </c>
      <c r="D4" s="42"/>
      <c r="E4" s="42" t="s">
        <v>97</v>
      </c>
    </row>
    <row r="5" spans="1:6">
      <c r="A5" s="42" t="s">
        <v>99</v>
      </c>
      <c r="B5" s="43">
        <v>1291</v>
      </c>
      <c r="C5" s="42" t="s">
        <v>100</v>
      </c>
      <c r="D5" s="42" t="s">
        <v>97</v>
      </c>
      <c r="E5" s="42"/>
    </row>
    <row r="6" spans="1:6">
      <c r="A6" s="42" t="s">
        <v>101</v>
      </c>
      <c r="B6" s="43">
        <v>45.17</v>
      </c>
      <c r="C6" s="46"/>
      <c r="D6" s="42" t="s">
        <v>97</v>
      </c>
      <c r="E6" s="42"/>
    </row>
    <row r="7" spans="1:6">
      <c r="A7" s="42" t="s">
        <v>102</v>
      </c>
      <c r="B7" s="43">
        <v>219</v>
      </c>
      <c r="C7" s="45" t="s">
        <v>103</v>
      </c>
      <c r="D7" s="42" t="s">
        <v>97</v>
      </c>
      <c r="E7" s="42"/>
    </row>
    <row r="8" spans="1:6">
      <c r="A8" s="42" t="s">
        <v>104</v>
      </c>
      <c r="B8" s="51">
        <v>141.16999999999999</v>
      </c>
      <c r="C8" s="45" t="s">
        <v>105</v>
      </c>
      <c r="D8" s="42" t="s">
        <v>97</v>
      </c>
      <c r="E8" s="42"/>
      <c r="F8" t="s">
        <v>106</v>
      </c>
    </row>
    <row r="9" spans="1:6">
      <c r="A9" s="42" t="s">
        <v>107</v>
      </c>
      <c r="B9" s="43">
        <v>45</v>
      </c>
      <c r="C9" s="46"/>
      <c r="D9" s="42" t="s">
        <v>97</v>
      </c>
      <c r="E9" s="42"/>
      <c r="F9" t="s">
        <v>108</v>
      </c>
    </row>
    <row r="10" spans="1:6">
      <c r="A10" s="42" t="s">
        <v>27</v>
      </c>
      <c r="B10" s="51">
        <v>180</v>
      </c>
      <c r="C10" s="45" t="s">
        <v>105</v>
      </c>
      <c r="D10" s="42" t="s">
        <v>97</v>
      </c>
      <c r="E10" s="42"/>
      <c r="F10" t="s">
        <v>106</v>
      </c>
    </row>
    <row r="11" spans="1:6">
      <c r="A11" s="42" t="s">
        <v>109</v>
      </c>
      <c r="B11" s="47">
        <v>120</v>
      </c>
      <c r="C11" s="48" t="s">
        <v>110</v>
      </c>
      <c r="D11" s="42"/>
      <c r="E11" s="42" t="s">
        <v>97</v>
      </c>
    </row>
    <row r="12" spans="1:6">
      <c r="A12" s="42" t="s">
        <v>111</v>
      </c>
      <c r="B12" s="43">
        <v>64</v>
      </c>
      <c r="C12" s="45" t="s">
        <v>112</v>
      </c>
      <c r="D12" s="42" t="s">
        <v>97</v>
      </c>
      <c r="E12" s="42"/>
      <c r="F12" s="5" t="s">
        <v>113</v>
      </c>
    </row>
    <row r="13" spans="1:6">
      <c r="A13" s="42" t="s">
        <v>114</v>
      </c>
      <c r="B13" s="43">
        <v>179</v>
      </c>
      <c r="C13" s="50" t="s">
        <v>115</v>
      </c>
      <c r="D13" s="42"/>
      <c r="E13" s="42"/>
    </row>
    <row r="14" spans="1:6">
      <c r="A14" s="42" t="s">
        <v>116</v>
      </c>
      <c r="B14" s="43">
        <v>86</v>
      </c>
      <c r="C14" s="45" t="s">
        <v>117</v>
      </c>
      <c r="D14" s="42"/>
      <c r="E14" s="42"/>
      <c r="F14" s="5" t="s">
        <v>118</v>
      </c>
    </row>
    <row r="15" spans="1:6">
      <c r="A15" s="42" t="s">
        <v>119</v>
      </c>
      <c r="B15" s="43">
        <v>100</v>
      </c>
      <c r="C15" s="45" t="s">
        <v>120</v>
      </c>
      <c r="D15" s="42"/>
      <c r="E15" s="42"/>
      <c r="F15" t="s">
        <v>121</v>
      </c>
    </row>
    <row r="16" spans="1:6">
      <c r="A16" s="42" t="s">
        <v>122</v>
      </c>
      <c r="B16" s="43">
        <v>27</v>
      </c>
      <c r="C16" s="45" t="s">
        <v>120</v>
      </c>
      <c r="D16" s="42"/>
      <c r="E16" s="42"/>
    </row>
    <row r="17" spans="1:6">
      <c r="A17" s="42"/>
      <c r="B17" s="43"/>
      <c r="C17" s="42"/>
      <c r="D17" s="42"/>
      <c r="E17" s="42"/>
    </row>
    <row r="18" spans="1:6">
      <c r="A18" s="41" t="s">
        <v>7</v>
      </c>
      <c r="B18" s="44">
        <f>SUM(B3:B16)</f>
        <v>4272.34</v>
      </c>
      <c r="C18" s="42"/>
      <c r="D18" s="42"/>
      <c r="E18" s="42"/>
    </row>
    <row r="19" spans="1:6">
      <c r="A19" s="41" t="s">
        <v>123</v>
      </c>
      <c r="B19" s="44">
        <v>4000</v>
      </c>
    </row>
    <row r="22" spans="1:6">
      <c r="A22" t="s">
        <v>124</v>
      </c>
      <c r="B22" s="49">
        <f>SUM(B3+B4+B11+B10+B8)</f>
        <v>2216.17</v>
      </c>
      <c r="C22" t="s">
        <v>125</v>
      </c>
    </row>
    <row r="23" spans="1:6">
      <c r="A23" t="s">
        <v>126</v>
      </c>
      <c r="B23" s="49">
        <f>SUM(B5+B6+B7+B9+B12+B13+B14+B15+B16)</f>
        <v>2056.17</v>
      </c>
      <c r="C23" t="s">
        <v>127</v>
      </c>
    </row>
    <row r="24" spans="1:6">
      <c r="A24" t="s">
        <v>106</v>
      </c>
      <c r="B24" s="49">
        <f>SUM(B8+B10)</f>
        <v>321.16999999999996</v>
      </c>
    </row>
    <row r="27" spans="1:6">
      <c r="F27">
        <v>64</v>
      </c>
    </row>
    <row r="28" spans="1:6">
      <c r="C28" s="49"/>
      <c r="F28">
        <v>411</v>
      </c>
    </row>
    <row r="29" spans="1:6">
      <c r="F29">
        <v>723</v>
      </c>
    </row>
    <row r="30" spans="1:6">
      <c r="F30">
        <v>64</v>
      </c>
    </row>
    <row r="31" spans="1:6">
      <c r="F31">
        <v>1291</v>
      </c>
    </row>
    <row r="32" spans="1:6">
      <c r="F32">
        <v>47</v>
      </c>
    </row>
    <row r="33" spans="6:6">
      <c r="F33">
        <v>219</v>
      </c>
    </row>
    <row r="34" spans="6:6">
      <c r="F34">
        <f>SUM(F27:F33)</f>
        <v>2819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3" sqref="C13"/>
    </sheetView>
  </sheetViews>
  <sheetFormatPr defaultRowHeight="15.75"/>
  <cols>
    <col min="1" max="1" width="15.25" customWidth="1"/>
    <col min="2" max="2" width="11.5" customWidth="1"/>
    <col min="3" max="3" width="90.25" customWidth="1"/>
  </cols>
  <sheetData>
    <row r="1" spans="1:3">
      <c r="A1" s="5" t="s">
        <v>10</v>
      </c>
    </row>
    <row r="3" spans="1:3">
      <c r="A3" s="5" t="s">
        <v>31</v>
      </c>
    </row>
    <row r="4" spans="1:3">
      <c r="A4" s="5"/>
      <c r="B4" s="54">
        <v>5000</v>
      </c>
      <c r="C4" t="s">
        <v>128</v>
      </c>
    </row>
    <row r="5" spans="1:3">
      <c r="A5" s="5"/>
      <c r="B5" s="54">
        <v>1500</v>
      </c>
      <c r="C5" t="s">
        <v>129</v>
      </c>
    </row>
    <row r="6" spans="1:3">
      <c r="A6" s="5"/>
      <c r="B6" s="54">
        <v>3500</v>
      </c>
      <c r="C6" t="s">
        <v>130</v>
      </c>
    </row>
    <row r="7" spans="1:3">
      <c r="A7" s="5"/>
      <c r="B7" s="54">
        <v>3500</v>
      </c>
      <c r="C7" t="s">
        <v>131</v>
      </c>
    </row>
    <row r="8" spans="1:3">
      <c r="B8" s="54">
        <v>5000</v>
      </c>
      <c r="C8" t="s">
        <v>132</v>
      </c>
    </row>
    <row r="11" spans="1:3">
      <c r="A11" t="s">
        <v>7</v>
      </c>
      <c r="B11" s="54">
        <f>SUM(B4:B10)</f>
        <v>18500</v>
      </c>
    </row>
    <row r="13" spans="1:3">
      <c r="A13" t="s">
        <v>133</v>
      </c>
      <c r="B13" s="54">
        <v>19000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5" sqref="B15"/>
    </sheetView>
  </sheetViews>
  <sheetFormatPr defaultRowHeight="15.75"/>
  <cols>
    <col min="1" max="1" width="36.125" customWidth="1"/>
  </cols>
  <sheetData>
    <row r="1" spans="1:3">
      <c r="A1" s="5" t="s">
        <v>134</v>
      </c>
    </row>
    <row r="3" spans="1:3">
      <c r="A3" t="s">
        <v>47</v>
      </c>
      <c r="B3" s="52">
        <v>3000</v>
      </c>
    </row>
    <row r="4" spans="1:3">
      <c r="B4" s="52"/>
    </row>
    <row r="5" spans="1:3">
      <c r="B5" s="52"/>
    </row>
    <row r="6" spans="1:3">
      <c r="A6" t="s">
        <v>46</v>
      </c>
      <c r="B6" s="52">
        <v>3000</v>
      </c>
      <c r="C6" t="s">
        <v>135</v>
      </c>
    </row>
    <row r="8" spans="1:3">
      <c r="A8" t="s">
        <v>49</v>
      </c>
      <c r="B8" s="52">
        <v>3000</v>
      </c>
      <c r="C8" t="s">
        <v>136</v>
      </c>
    </row>
    <row r="9" spans="1:3">
      <c r="C9" t="s">
        <v>137</v>
      </c>
    </row>
    <row r="14" spans="1:3">
      <c r="B14" s="52">
        <f>SUM(B3:B13)</f>
        <v>9000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view="pageBreakPreview" zoomScale="60" zoomScaleNormal="70" workbookViewId="0">
      <selection activeCell="E56" sqref="E56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5" width="18.5" customWidth="1"/>
    <col min="6" max="6" width="15" customWidth="1"/>
    <col min="9" max="9" width="12.75" style="18" customWidth="1"/>
    <col min="10" max="10" width="11.25" style="18"/>
    <col min="11" max="11" width="15.25" style="18" customWidth="1"/>
    <col min="12" max="12" width="12.875" style="18" customWidth="1"/>
    <col min="13" max="23" width="11.25" style="18"/>
  </cols>
  <sheetData>
    <row r="1" spans="1:12">
      <c r="A1" s="5" t="s">
        <v>0</v>
      </c>
    </row>
    <row r="2" spans="1:12" ht="16.5" thickBot="1">
      <c r="F2" s="2"/>
    </row>
    <row r="3" spans="1:12">
      <c r="A3" s="5" t="s">
        <v>30</v>
      </c>
      <c r="B3" s="1">
        <v>42644</v>
      </c>
      <c r="C3" t="s">
        <v>31</v>
      </c>
      <c r="D3" s="8">
        <v>4000</v>
      </c>
      <c r="F3" s="2"/>
      <c r="I3" s="28" t="s">
        <v>32</v>
      </c>
      <c r="J3" s="19"/>
      <c r="K3" s="19"/>
      <c r="L3" s="20"/>
    </row>
    <row r="4" spans="1:12">
      <c r="B4" s="1">
        <v>42736</v>
      </c>
      <c r="C4" t="s">
        <v>138</v>
      </c>
      <c r="D4" s="8">
        <v>4000</v>
      </c>
      <c r="F4" s="2"/>
      <c r="I4" s="29" t="s">
        <v>34</v>
      </c>
      <c r="J4" s="21"/>
      <c r="K4" s="21"/>
      <c r="L4" s="22"/>
    </row>
    <row r="5" spans="1:12">
      <c r="B5" s="1">
        <v>42826</v>
      </c>
      <c r="C5" t="s">
        <v>33</v>
      </c>
      <c r="D5" s="8">
        <v>4000</v>
      </c>
      <c r="F5" s="2"/>
      <c r="I5" s="30"/>
      <c r="J5" s="21" t="s">
        <v>36</v>
      </c>
      <c r="K5" s="21" t="s">
        <v>37</v>
      </c>
      <c r="L5" s="22" t="s">
        <v>38</v>
      </c>
    </row>
    <row r="6" spans="1:12">
      <c r="B6" s="1">
        <v>42917</v>
      </c>
      <c r="C6" t="s">
        <v>39</v>
      </c>
      <c r="D6" s="8">
        <v>4000</v>
      </c>
      <c r="F6" s="2"/>
      <c r="I6" s="30"/>
      <c r="J6" s="26">
        <v>5</v>
      </c>
      <c r="K6" s="21">
        <v>100</v>
      </c>
      <c r="L6" s="22">
        <v>5</v>
      </c>
    </row>
    <row r="7" spans="1:12">
      <c r="B7" s="1">
        <v>43009</v>
      </c>
      <c r="C7" t="s">
        <v>139</v>
      </c>
      <c r="D7" s="8">
        <v>4000</v>
      </c>
      <c r="F7" s="2"/>
      <c r="I7" s="30" t="s">
        <v>41</v>
      </c>
      <c r="J7" s="26">
        <f>SUM(J6*K6)*L6</f>
        <v>2500</v>
      </c>
      <c r="K7" s="21"/>
      <c r="L7" s="22"/>
    </row>
    <row r="8" spans="1:12">
      <c r="B8" s="1">
        <v>43070</v>
      </c>
      <c r="C8" t="s">
        <v>31</v>
      </c>
      <c r="D8" s="8">
        <v>5000</v>
      </c>
      <c r="F8" s="2"/>
      <c r="I8" s="30"/>
      <c r="J8" s="21"/>
      <c r="K8" s="21"/>
      <c r="L8" s="22"/>
    </row>
    <row r="9" spans="1:12">
      <c r="B9" s="1" t="s">
        <v>43</v>
      </c>
      <c r="D9" s="8">
        <v>4500</v>
      </c>
      <c r="F9" s="37">
        <f>SUM(D3:D9)</f>
        <v>29500</v>
      </c>
      <c r="I9" s="30"/>
      <c r="J9" s="21"/>
      <c r="K9" s="21"/>
      <c r="L9" s="22"/>
    </row>
    <row r="10" spans="1:12">
      <c r="B10" s="1"/>
      <c r="D10" s="9"/>
      <c r="F10" s="2"/>
      <c r="I10" s="29" t="s">
        <v>44</v>
      </c>
      <c r="J10" s="21"/>
      <c r="K10" s="21"/>
      <c r="L10" s="22"/>
    </row>
    <row r="11" spans="1:12">
      <c r="B11" s="1"/>
      <c r="D11" s="9"/>
      <c r="F11" s="2"/>
      <c r="I11" s="30"/>
      <c r="J11" s="21" t="s">
        <v>36</v>
      </c>
      <c r="K11" s="21" t="s">
        <v>37</v>
      </c>
      <c r="L11" s="22" t="s">
        <v>38</v>
      </c>
    </row>
    <row r="12" spans="1:12">
      <c r="B12" s="1"/>
      <c r="D12" s="9"/>
      <c r="F12" s="2"/>
      <c r="I12" s="30"/>
      <c r="J12" s="26">
        <v>10</v>
      </c>
      <c r="K12" s="21">
        <v>900</v>
      </c>
      <c r="L12" s="22">
        <v>1</v>
      </c>
    </row>
    <row r="13" spans="1:12" ht="16.5" thickBot="1">
      <c r="D13" s="8"/>
      <c r="F13" s="2"/>
      <c r="I13" s="31" t="s">
        <v>41</v>
      </c>
      <c r="J13" s="32">
        <f>SUM(J12*K12)*L12</f>
        <v>9000</v>
      </c>
      <c r="K13" s="23"/>
      <c r="L13" s="24"/>
    </row>
    <row r="14" spans="1:12">
      <c r="A14" s="5" t="s">
        <v>86</v>
      </c>
      <c r="B14" s="3" t="s">
        <v>87</v>
      </c>
      <c r="D14" s="35">
        <v>2000</v>
      </c>
      <c r="F14" s="2"/>
      <c r="I14" s="30"/>
      <c r="J14" s="21"/>
      <c r="K14" s="21"/>
      <c r="L14" s="22"/>
    </row>
    <row r="15" spans="1:12">
      <c r="B15" s="3" t="s">
        <v>88</v>
      </c>
      <c r="D15" s="35">
        <v>6000</v>
      </c>
      <c r="F15" s="2"/>
      <c r="I15" s="30" t="s">
        <v>48</v>
      </c>
      <c r="J15" s="21"/>
      <c r="K15" s="25">
        <f>SUM(J7+J13)</f>
        <v>11500</v>
      </c>
      <c r="L15" s="22"/>
    </row>
    <row r="16" spans="1:12">
      <c r="B16" s="3" t="s">
        <v>89</v>
      </c>
      <c r="D16" s="8"/>
      <c r="F16" s="2"/>
      <c r="I16" s="30" t="s">
        <v>50</v>
      </c>
      <c r="J16" s="21"/>
      <c r="K16" s="26">
        <f>SUM(K15/6)</f>
        <v>1916.6666666666667</v>
      </c>
      <c r="L16" s="22"/>
    </row>
    <row r="17" spans="1:12">
      <c r="B17" s="3"/>
      <c r="D17" s="8"/>
      <c r="F17" s="2"/>
      <c r="I17" s="30" t="s">
        <v>51</v>
      </c>
      <c r="J17" s="21"/>
      <c r="K17" s="26">
        <f>SUM(K15*0.019)</f>
        <v>218.5</v>
      </c>
      <c r="L17" s="22"/>
    </row>
    <row r="18" spans="1:12">
      <c r="A18" s="5" t="s">
        <v>52</v>
      </c>
      <c r="B18" s="3" t="s">
        <v>53</v>
      </c>
      <c r="D18" s="39">
        <v>2000</v>
      </c>
      <c r="F18" s="2"/>
      <c r="I18" s="30"/>
      <c r="J18" s="21"/>
      <c r="K18" s="26">
        <f>SUM(K16:K17)</f>
        <v>2135.166666666667</v>
      </c>
      <c r="L18" s="22"/>
    </row>
    <row r="19" spans="1:12" ht="16.5" thickBot="1">
      <c r="B19" s="3" t="s">
        <v>54</v>
      </c>
      <c r="D19" s="8">
        <v>0</v>
      </c>
      <c r="F19" s="2"/>
      <c r="I19" s="33" t="s">
        <v>55</v>
      </c>
      <c r="J19" s="34"/>
      <c r="K19" s="27">
        <f>SUM(K15-K18)</f>
        <v>9364.8333333333321</v>
      </c>
      <c r="L19" s="24"/>
    </row>
    <row r="20" spans="1:12">
      <c r="A20" t="s">
        <v>56</v>
      </c>
      <c r="B20" s="4" t="s">
        <v>57</v>
      </c>
      <c r="D20" s="39">
        <v>5000</v>
      </c>
      <c r="F20" s="6">
        <f>SUM(D14+D15+D18+D20)</f>
        <v>15000</v>
      </c>
    </row>
    <row r="21" spans="1:12">
      <c r="B21" s="3"/>
      <c r="D21" s="9"/>
      <c r="F21" s="2"/>
    </row>
    <row r="22" spans="1:12">
      <c r="D22" s="9"/>
      <c r="F22" s="2"/>
    </row>
    <row r="23" spans="1:12">
      <c r="A23" s="5" t="s">
        <v>58</v>
      </c>
      <c r="D23" s="9"/>
      <c r="F23" s="2"/>
    </row>
    <row r="24" spans="1:12">
      <c r="A24" s="5" t="s">
        <v>59</v>
      </c>
      <c r="B24" t="s">
        <v>60</v>
      </c>
      <c r="C24">
        <v>3</v>
      </c>
      <c r="D24" s="9">
        <v>4000</v>
      </c>
      <c r="E24" s="36">
        <f>C24*D24</f>
        <v>12000</v>
      </c>
    </row>
    <row r="25" spans="1:12">
      <c r="B25" t="s">
        <v>61</v>
      </c>
      <c r="C25">
        <v>10</v>
      </c>
      <c r="D25" s="9">
        <v>1500</v>
      </c>
      <c r="E25" s="36">
        <f>C25*D25</f>
        <v>15000</v>
      </c>
      <c r="K25" s="21"/>
    </row>
    <row r="26" spans="1:12">
      <c r="B26" t="s">
        <v>62</v>
      </c>
      <c r="C26">
        <v>20</v>
      </c>
      <c r="D26" s="9">
        <v>50</v>
      </c>
      <c r="E26" s="36">
        <f>C26*D26</f>
        <v>1000</v>
      </c>
      <c r="K26" s="21"/>
    </row>
    <row r="27" spans="1:12">
      <c r="B27" t="s">
        <v>63</v>
      </c>
      <c r="C27">
        <v>10</v>
      </c>
      <c r="D27" s="9">
        <v>250</v>
      </c>
      <c r="E27" s="39">
        <f>+C27*D27</f>
        <v>2500</v>
      </c>
    </row>
    <row r="28" spans="1:12">
      <c r="B28" t="s">
        <v>64</v>
      </c>
      <c r="C28">
        <v>10</v>
      </c>
      <c r="D28" s="9">
        <v>250</v>
      </c>
      <c r="E28" s="36">
        <f>+C28*D28</f>
        <v>2500</v>
      </c>
      <c r="F28" s="6">
        <f>SUM(E24:E28)</f>
        <v>33000</v>
      </c>
    </row>
    <row r="29" spans="1:12">
      <c r="D29" s="9"/>
      <c r="E29" s="16"/>
      <c r="F29" s="2"/>
    </row>
    <row r="30" spans="1:12">
      <c r="D30" s="9"/>
      <c r="E30" s="16"/>
      <c r="F30" s="2"/>
      <c r="I30" s="21"/>
    </row>
    <row r="31" spans="1:12">
      <c r="A31" s="5" t="s">
        <v>65</v>
      </c>
      <c r="B31" t="s">
        <v>66</v>
      </c>
      <c r="C31">
        <v>3</v>
      </c>
      <c r="D31" s="9">
        <v>1500</v>
      </c>
      <c r="E31" s="16">
        <f>C31*D31</f>
        <v>4500</v>
      </c>
      <c r="F31" s="2"/>
    </row>
    <row r="32" spans="1:12">
      <c r="B32" t="s">
        <v>67</v>
      </c>
      <c r="C32">
        <v>3</v>
      </c>
      <c r="D32" s="9">
        <v>1200</v>
      </c>
      <c r="E32" s="16">
        <v>3000</v>
      </c>
      <c r="F32" s="2"/>
    </row>
    <row r="33" spans="1:8">
      <c r="B33" t="s">
        <v>68</v>
      </c>
      <c r="C33">
        <v>3</v>
      </c>
      <c r="D33" s="9">
        <v>1500</v>
      </c>
      <c r="E33" s="16">
        <f>C33*D33</f>
        <v>4500</v>
      </c>
      <c r="F33" s="2"/>
    </row>
    <row r="34" spans="1:8">
      <c r="B34" t="s">
        <v>69</v>
      </c>
      <c r="C34">
        <v>3</v>
      </c>
      <c r="D34" s="9">
        <v>1000</v>
      </c>
      <c r="E34" s="16">
        <f>C34*D34</f>
        <v>3000</v>
      </c>
      <c r="F34" s="38">
        <f>SUM(E31:E34)</f>
        <v>15000</v>
      </c>
    </row>
    <row r="35" spans="1:8">
      <c r="D35" s="9"/>
      <c r="E35" s="16"/>
      <c r="F35" s="2"/>
    </row>
    <row r="36" spans="1:8">
      <c r="A36" s="5" t="s">
        <v>70</v>
      </c>
      <c r="B36" t="s">
        <v>14</v>
      </c>
      <c r="C36">
        <v>14</v>
      </c>
      <c r="D36" s="9">
        <v>2000</v>
      </c>
      <c r="E36" s="36">
        <v>21000</v>
      </c>
      <c r="F36" s="6"/>
      <c r="G36" s="15"/>
    </row>
    <row r="37" spans="1:8">
      <c r="A37" s="5"/>
      <c r="B37" t="s">
        <v>90</v>
      </c>
      <c r="D37" s="9"/>
      <c r="E37" s="36">
        <v>3500</v>
      </c>
      <c r="F37" s="6"/>
      <c r="G37" s="15"/>
    </row>
    <row r="38" spans="1:8">
      <c r="A38" s="5"/>
      <c r="B38" t="s">
        <v>16</v>
      </c>
      <c r="D38" s="9"/>
      <c r="E38" s="36">
        <v>3500</v>
      </c>
      <c r="F38" s="6"/>
      <c r="G38" s="15"/>
    </row>
    <row r="39" spans="1:8">
      <c r="A39" s="5"/>
      <c r="B39" t="s">
        <v>71</v>
      </c>
      <c r="D39" s="9"/>
      <c r="E39" s="40">
        <v>3500</v>
      </c>
      <c r="F39" s="6"/>
      <c r="G39" s="15"/>
    </row>
    <row r="40" spans="1:8">
      <c r="B40" t="s">
        <v>72</v>
      </c>
      <c r="C40">
        <v>1</v>
      </c>
      <c r="D40" s="9">
        <v>5000</v>
      </c>
      <c r="E40" s="40">
        <v>1500</v>
      </c>
      <c r="F40" s="6">
        <f>SUM(E36:E40)</f>
        <v>33000</v>
      </c>
    </row>
    <row r="41" spans="1:8">
      <c r="D41" s="9"/>
      <c r="E41" s="7"/>
      <c r="F41" s="6"/>
    </row>
    <row r="42" spans="1:8">
      <c r="A42" s="5" t="s">
        <v>73</v>
      </c>
      <c r="E42" s="35">
        <v>3500</v>
      </c>
      <c r="F42" s="2"/>
      <c r="H42" s="11"/>
    </row>
    <row r="43" spans="1:8">
      <c r="A43" s="5" t="s">
        <v>74</v>
      </c>
      <c r="E43" s="39">
        <v>2500</v>
      </c>
    </row>
    <row r="44" spans="1:8">
      <c r="A44" s="5" t="s">
        <v>75</v>
      </c>
      <c r="E44" s="35">
        <v>2500</v>
      </c>
    </row>
    <row r="45" spans="1:8">
      <c r="F45" s="12">
        <f>SUM(E42:E44)</f>
        <v>8500</v>
      </c>
    </row>
    <row r="46" spans="1:8">
      <c r="F46" s="9"/>
    </row>
    <row r="47" spans="1:8">
      <c r="F47" s="9"/>
    </row>
    <row r="48" spans="1:8">
      <c r="A48" s="10" t="s">
        <v>76</v>
      </c>
      <c r="F48" s="6">
        <f>SUM(F9+F20+F28+F34+F36+F40+F45)</f>
        <v>134000</v>
      </c>
    </row>
    <row r="49" spans="1:6">
      <c r="C49" s="10"/>
      <c r="F49" s="6"/>
    </row>
    <row r="50" spans="1:6">
      <c r="A50" s="5" t="s">
        <v>8</v>
      </c>
      <c r="C50" s="10"/>
      <c r="F50" s="6"/>
    </row>
    <row r="51" spans="1:6">
      <c r="A51" s="17" t="s">
        <v>77</v>
      </c>
      <c r="F51" s="12">
        <v>9000</v>
      </c>
    </row>
    <row r="52" spans="1:6">
      <c r="F52" s="9"/>
    </row>
    <row r="53" spans="1:6">
      <c r="A53" s="5" t="s">
        <v>78</v>
      </c>
      <c r="F53" s="12">
        <f>SUM(F48-F51)</f>
        <v>125000</v>
      </c>
    </row>
    <row r="57" spans="1:6">
      <c r="A57" s="5" t="s">
        <v>79</v>
      </c>
    </row>
    <row r="58" spans="1:6">
      <c r="A58" t="s">
        <v>80</v>
      </c>
      <c r="B58" s="9">
        <f>+D18</f>
        <v>2000</v>
      </c>
    </row>
    <row r="59" spans="1:6">
      <c r="A59" t="s">
        <v>5</v>
      </c>
      <c r="B59" s="9">
        <f>+D20</f>
        <v>5000</v>
      </c>
    </row>
    <row r="60" spans="1:6">
      <c r="A60" t="s">
        <v>81</v>
      </c>
      <c r="B60" s="9">
        <f>+E43</f>
        <v>2500</v>
      </c>
    </row>
    <row r="61" spans="1:6">
      <c r="A61" t="s">
        <v>82</v>
      </c>
      <c r="B61" s="9">
        <f>+E27</f>
        <v>2500</v>
      </c>
    </row>
    <row r="62" spans="1:6">
      <c r="A62" t="s">
        <v>83</v>
      </c>
      <c r="B62" s="9">
        <f>+F34</f>
        <v>15000</v>
      </c>
    </row>
    <row r="63" spans="1:6">
      <c r="A63" t="s">
        <v>71</v>
      </c>
      <c r="B63" s="9">
        <f>+E39</f>
        <v>3500</v>
      </c>
    </row>
    <row r="64" spans="1:6">
      <c r="A64" t="s">
        <v>72</v>
      </c>
      <c r="B64" s="9">
        <f>+E40</f>
        <v>1500</v>
      </c>
    </row>
    <row r="65" spans="1:5">
      <c r="A65" s="5" t="s">
        <v>84</v>
      </c>
      <c r="B65" s="12">
        <f>SUM(B58:B64)</f>
        <v>32000</v>
      </c>
    </row>
    <row r="66" spans="1:5">
      <c r="A66" s="5" t="s">
        <v>85</v>
      </c>
      <c r="B66" s="12">
        <f>SUM(F48-B65)</f>
        <v>102000</v>
      </c>
      <c r="C66" s="9">
        <f>+F9+D14+D15+E28+E24+E26+E25+E36+E37+E38+E42+E44</f>
        <v>102000</v>
      </c>
    </row>
    <row r="68" spans="1:5">
      <c r="A68" s="5"/>
      <c r="B68" s="12"/>
    </row>
    <row r="77" spans="1:5">
      <c r="A77" s="5"/>
      <c r="B77" s="5"/>
      <c r="C77" s="5"/>
      <c r="D77" s="5"/>
      <c r="E77" s="5"/>
    </row>
    <row r="79" spans="1:5">
      <c r="E79" s="13"/>
    </row>
    <row r="80" spans="1:5">
      <c r="E80" s="13"/>
    </row>
    <row r="81" spans="2:5">
      <c r="E81" s="13"/>
    </row>
    <row r="82" spans="2:5">
      <c r="E82" s="13"/>
    </row>
    <row r="83" spans="2:5">
      <c r="E83" s="13"/>
    </row>
    <row r="84" spans="2:5">
      <c r="E84" s="13"/>
    </row>
    <row r="85" spans="2:5">
      <c r="E85" s="13"/>
    </row>
    <row r="86" spans="2:5">
      <c r="E86" s="13"/>
    </row>
    <row r="87" spans="2:5">
      <c r="E87" s="13"/>
    </row>
    <row r="88" spans="2:5">
      <c r="B88" s="5"/>
      <c r="C88" s="5"/>
      <c r="E88" s="13"/>
    </row>
    <row r="89" spans="2:5">
      <c r="B89" s="5"/>
      <c r="E89" s="14"/>
    </row>
  </sheetData>
  <pageMargins left="0.70866141732283472" right="0.70866141732283472" top="0.74803149606299213" bottom="0.74803149606299213" header="0.31496062992125984" footer="0.31496062992125984"/>
  <pageSetup paperSize="9" scale="46" fitToWidth="0" orientation="landscape" horizontalDpi="4294967292" verticalDpi="4294967292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5729DC4-118C-41AB-88B2-94A86448BC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B5D1F-A132-41AE-A406-2AADB86971D1}"/>
</file>

<file path=customXml/itemProps3.xml><?xml version="1.0" encoding="utf-8"?>
<ds:datastoreItem xmlns:ds="http://schemas.openxmlformats.org/officeDocument/2006/customXml" ds:itemID="{0479E792-F62C-42C2-BF00-BB431FB8CD13}">
  <ds:schemaRefs>
    <ds:schemaRef ds:uri="http://purl.org/dc/elements/1.1/"/>
    <ds:schemaRef ds:uri="80129174-c05c-43cc-8e32-21fcbdfe51bb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958b15ed-c521-4290-b073-2e98d4cc1d7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Top Sheet</vt:lpstr>
      <vt:lpstr>Future Forum</vt:lpstr>
      <vt:lpstr>Humber Live Hull Venue</vt:lpstr>
      <vt:lpstr>New Summary</vt:lpstr>
      <vt:lpstr>Summary</vt:lpstr>
      <vt:lpstr>Event 1 Hull</vt:lpstr>
      <vt:lpstr>BFI</vt:lpstr>
      <vt:lpstr>Substance Publication</vt:lpstr>
      <vt:lpstr>Sheet2</vt:lpstr>
      <vt:lpstr>Sheet1</vt:lpstr>
      <vt:lpstr>Saturday Wild Beasts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Bainbridge</dc:creator>
  <cp:keywords/>
  <dc:description/>
  <cp:lastModifiedBy>Atkinsonm</cp:lastModifiedBy>
  <cp:revision/>
  <dcterms:created xsi:type="dcterms:W3CDTF">2016-01-21T18:14:30Z</dcterms:created>
  <dcterms:modified xsi:type="dcterms:W3CDTF">2017-08-04T09:19:30Z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