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65461" windowWidth="14505" windowHeight="12900" tabRatio="988" activeTab="1"/>
  </bookViews>
  <sheets>
    <sheet name="Return to Vegas" sheetId="1" r:id="rId1"/>
    <sheet name="Ballad of Big Lil" sheetId="2" r:id="rId2"/>
    <sheet name="HCoC SSp Summary" sheetId="3" r:id="rId3"/>
    <sheet name="Template" sheetId="4" r:id="rId4"/>
  </sheets>
  <definedNames>
    <definedName name="_xlnm.Print_Area" localSheetId="2">'HCoC SSp Summary'!$A$1:$D$54</definedName>
    <definedName name="_xlnm.Print_Area" localSheetId="0">'Return to Vegas'!$A$1:$M$254</definedName>
    <definedName name="_xlnm.Print_Area" localSheetId="3">'Template'!$A$1:$L$249</definedName>
    <definedName name="_xlnm.Print_Titles" localSheetId="0">'Return to Vegas'!$1:$3</definedName>
  </definedNames>
  <calcPr fullCalcOnLoad="1"/>
</workbook>
</file>

<file path=xl/sharedStrings.xml><?xml version="1.0" encoding="utf-8"?>
<sst xmlns="http://schemas.openxmlformats.org/spreadsheetml/2006/main" count="1322" uniqueCount="468">
  <si>
    <t>Production:</t>
  </si>
  <si>
    <t xml:space="preserve">Dates: </t>
  </si>
  <si>
    <t>Theatre:</t>
  </si>
  <si>
    <t>Version No:</t>
  </si>
  <si>
    <t>Show Code</t>
  </si>
  <si>
    <t>Code Nos</t>
  </si>
  <si>
    <t>Salary Costs</t>
  </si>
  <si>
    <t>Rehearsals</t>
  </si>
  <si>
    <t>Budget</t>
  </si>
  <si>
    <t>Finance</t>
  </si>
  <si>
    <t>Running</t>
  </si>
  <si>
    <t>ACTOR COSTS</t>
  </si>
  <si>
    <t>Number Artists</t>
  </si>
  <si>
    <t>Number Weeks</t>
  </si>
  <si>
    <t xml:space="preserve"> Rehearsal Salary</t>
  </si>
  <si>
    <t>1 Week</t>
  </si>
  <si>
    <t>Total</t>
  </si>
  <si>
    <t>Performing Salary</t>
  </si>
  <si>
    <t>Performing Total</t>
  </si>
  <si>
    <t>AC - 1010</t>
  </si>
  <si>
    <t>Actors</t>
  </si>
  <si>
    <t>AC - 1170</t>
  </si>
  <si>
    <t>Understudies</t>
  </si>
  <si>
    <t>AC - 1160</t>
  </si>
  <si>
    <t>Dance Captain</t>
  </si>
  <si>
    <t>AC - 1100</t>
  </si>
  <si>
    <t>Company Overtime</t>
  </si>
  <si>
    <t>AC - 1060</t>
  </si>
  <si>
    <t>Company Holiday Pay</t>
  </si>
  <si>
    <t>AC - 1030</t>
  </si>
  <si>
    <t>Company NI</t>
  </si>
  <si>
    <t>AC - 1040</t>
  </si>
  <si>
    <t>Company Subsistence</t>
  </si>
  <si>
    <t>AC - 1190</t>
  </si>
  <si>
    <t>Company Medical Costs</t>
  </si>
  <si>
    <t>AC - 1050</t>
  </si>
  <si>
    <t>Company Travel/Misc</t>
  </si>
  <si>
    <t>Act Code ? for Run</t>
  </si>
  <si>
    <t>Total Cast Costs</t>
  </si>
  <si>
    <t>MU - 1010</t>
  </si>
  <si>
    <t>Musicians</t>
  </si>
  <si>
    <t>MU - 1100</t>
  </si>
  <si>
    <t>Musicians Overtime</t>
  </si>
  <si>
    <t>MU - 1060</t>
  </si>
  <si>
    <t>Musicians Holiday Pay</t>
  </si>
  <si>
    <t>MU - 1030</t>
  </si>
  <si>
    <t>Musicians NI</t>
  </si>
  <si>
    <t>MU - 1040</t>
  </si>
  <si>
    <t>Musicians Subsistence</t>
  </si>
  <si>
    <t>MU - 1050</t>
  </si>
  <si>
    <t>Musicians Travel</t>
  </si>
  <si>
    <t>MU - 1180</t>
  </si>
  <si>
    <t>Musicians Porterage</t>
  </si>
  <si>
    <t>MusicCode  ? or Run</t>
  </si>
  <si>
    <t>Total Musicians Costs</t>
  </si>
  <si>
    <t>SM - 1010</t>
  </si>
  <si>
    <t>Stage Manager</t>
  </si>
  <si>
    <t>DSM</t>
  </si>
  <si>
    <t>ASM</t>
  </si>
  <si>
    <t>SM - 1040</t>
  </si>
  <si>
    <t>SM Subsistence</t>
  </si>
  <si>
    <t>SM - 1100</t>
  </si>
  <si>
    <t>Stage Management Overtime</t>
  </si>
  <si>
    <t>SM - 1030</t>
  </si>
  <si>
    <t>Stage Management NI</t>
  </si>
  <si>
    <t>Stage code ?for Run</t>
  </si>
  <si>
    <t>Total Stage Mangement Costs</t>
  </si>
  <si>
    <t>Sound No 1</t>
  </si>
  <si>
    <t>Sound No 2</t>
  </si>
  <si>
    <t>Wardrobe Supervisor</t>
  </si>
  <si>
    <t>Dep Wardrobe Supervisor</t>
  </si>
  <si>
    <t>Wigs Supervisor</t>
  </si>
  <si>
    <t>Dressers</t>
  </si>
  <si>
    <t xml:space="preserve">Crew </t>
  </si>
  <si>
    <t>Technical Staff O/t</t>
  </si>
  <si>
    <t>Technical Staff NI</t>
  </si>
  <si>
    <t>Total Technical Costs</t>
  </si>
  <si>
    <t>GRAND TOTAL</t>
  </si>
  <si>
    <t>Code</t>
  </si>
  <si>
    <t>Pre-Production - Creative Team</t>
  </si>
  <si>
    <t>code + 2</t>
  </si>
  <si>
    <t>code +1</t>
  </si>
  <si>
    <t>Fees</t>
  </si>
  <si>
    <t>Actual</t>
  </si>
  <si>
    <t>Travel</t>
  </si>
  <si>
    <t>Expenses</t>
  </si>
  <si>
    <t>Notes</t>
  </si>
  <si>
    <t>CT - 2360</t>
  </si>
  <si>
    <t>Casting Director</t>
  </si>
  <si>
    <t>CT - 2430</t>
  </si>
  <si>
    <t>Author</t>
  </si>
  <si>
    <t>CT - 2300</t>
  </si>
  <si>
    <t>Director</t>
  </si>
  <si>
    <t>CT - 2310</t>
  </si>
  <si>
    <t>Assistant Director</t>
  </si>
  <si>
    <t>CT - 2320</t>
  </si>
  <si>
    <t>Set Designer</t>
  </si>
  <si>
    <t>CT - 2370</t>
  </si>
  <si>
    <t>Fight Director</t>
  </si>
  <si>
    <t>CT - 2340</t>
  </si>
  <si>
    <t>Lighting designer</t>
  </si>
  <si>
    <t>CT - 2350</t>
  </si>
  <si>
    <t>Sound Designer</t>
  </si>
  <si>
    <t>CT - 2330</t>
  </si>
  <si>
    <t>Costume Designer</t>
  </si>
  <si>
    <t>CT - 2380</t>
  </si>
  <si>
    <t>Choreographer</t>
  </si>
  <si>
    <t>CT - 2410</t>
  </si>
  <si>
    <t>Music Supervisor</t>
  </si>
  <si>
    <t>CT - 2400</t>
  </si>
  <si>
    <t>Musical Director</t>
  </si>
  <si>
    <t>CT - 2420</t>
  </si>
  <si>
    <t>Composer</t>
  </si>
  <si>
    <t>Rehearsal pianist</t>
  </si>
  <si>
    <t>CT - 2390</t>
  </si>
  <si>
    <t>Voice</t>
  </si>
  <si>
    <t>Other</t>
  </si>
  <si>
    <t>PHYSICAL PRODUCTION</t>
  </si>
  <si>
    <t>Company Costs B/D</t>
  </si>
  <si>
    <t>Musicians Costs B/D</t>
  </si>
  <si>
    <t>Stage Management Costs B/D</t>
  </si>
  <si>
    <t>Technical Staff Costs B/D</t>
  </si>
  <si>
    <t>Creative Fees B/D</t>
  </si>
  <si>
    <t>Crew/Dresser Costs B/D</t>
  </si>
  <si>
    <t>TSM Materials</t>
  </si>
  <si>
    <t>TSM Hires</t>
  </si>
  <si>
    <t>TSM Labour (add)</t>
  </si>
  <si>
    <t>TSM O/T</t>
  </si>
  <si>
    <t>Props-Materials</t>
  </si>
  <si>
    <t>Props-Hires</t>
  </si>
  <si>
    <t>Wigs-Materials</t>
  </si>
  <si>
    <t>Wigs-Hires</t>
  </si>
  <si>
    <t>LX Pre-Prod Hires</t>
  </si>
  <si>
    <t>LX-Practicals</t>
  </si>
  <si>
    <t>Video Costs</t>
  </si>
  <si>
    <t>Sound-Build Materials</t>
  </si>
  <si>
    <t>Sound Pre-Prod  Hires</t>
  </si>
  <si>
    <t>Sub-Total Prod Materials</t>
  </si>
  <si>
    <t>Fit-Up</t>
  </si>
  <si>
    <t>Get-Out</t>
  </si>
  <si>
    <t>Labour Accrual Allowance</t>
  </si>
  <si>
    <t>allowance</t>
  </si>
  <si>
    <t xml:space="preserve"> Transport costs</t>
  </si>
  <si>
    <t>Marketing Costs</t>
  </si>
  <si>
    <t>Press Costs- Photographs</t>
  </si>
  <si>
    <t>CT - 2140</t>
  </si>
  <si>
    <t>Audition Costs</t>
  </si>
  <si>
    <t>CT - 2150</t>
  </si>
  <si>
    <t>Rehearsal costs</t>
  </si>
  <si>
    <t>Children/Supers</t>
  </si>
  <si>
    <t>Scripts &amp; Photocopy</t>
  </si>
  <si>
    <t>Music Copying &amp; Orchestration</t>
  </si>
  <si>
    <t>Insurance</t>
  </si>
  <si>
    <t>CT - 2080</t>
  </si>
  <si>
    <t>First Night Hospitality</t>
  </si>
  <si>
    <t>Producer Costs</t>
  </si>
  <si>
    <t>Running Costs</t>
  </si>
  <si>
    <t>Run WYP</t>
  </si>
  <si>
    <t>Children &amp; Supers</t>
  </si>
  <si>
    <t>Set- running &amp; hires</t>
  </si>
  <si>
    <t>Carps overtime</t>
  </si>
  <si>
    <t>Props -running &amp; hires</t>
  </si>
  <si>
    <t>Props overtime</t>
  </si>
  <si>
    <t>Costume - running &amp; hires</t>
  </si>
  <si>
    <t>Wardrobe/wigs overtime</t>
  </si>
  <si>
    <t>LX - running &amp; hires</t>
  </si>
  <si>
    <t>Lx overtime</t>
  </si>
  <si>
    <t>Sound -running &amp; hires</t>
  </si>
  <si>
    <t>sound overtime</t>
  </si>
  <si>
    <t>Other Equipment (Tour Costs)</t>
  </si>
  <si>
    <t>FOH - Attendants</t>
  </si>
  <si>
    <t>FOH - Firemen</t>
  </si>
  <si>
    <t>NOTES</t>
  </si>
  <si>
    <t>Design Dates</t>
  </si>
  <si>
    <t>SUMMARY</t>
  </si>
  <si>
    <t xml:space="preserve">Box _Office Income </t>
  </si>
  <si>
    <t>Audition</t>
  </si>
  <si>
    <t>No of Perfs</t>
  </si>
  <si>
    <t>Preliminary</t>
  </si>
  <si>
    <t>PRE-PRODUCTION</t>
  </si>
  <si>
    <t>Capacity</t>
  </si>
  <si>
    <t>Final</t>
  </si>
  <si>
    <t>% capacity</t>
  </si>
  <si>
    <t>Working</t>
  </si>
  <si>
    <t>RUNNING</t>
  </si>
  <si>
    <t>Average Net Yield</t>
  </si>
  <si>
    <t xml:space="preserve">DESIGN DEADLINES TO INCLUDE </t>
  </si>
  <si>
    <t>Total Audience</t>
  </si>
  <si>
    <t>ALL PROP,COSTUME &amp; SET INFO.</t>
  </si>
  <si>
    <t>Contingency</t>
  </si>
  <si>
    <t>Total Expenditure</t>
  </si>
  <si>
    <t>Nett Income</t>
  </si>
  <si>
    <t>Prod. Dates</t>
  </si>
  <si>
    <t>BOX-OFFICE</t>
  </si>
  <si>
    <t xml:space="preserve">Less CC Commission </t>
  </si>
  <si>
    <t>Reh. Start</t>
  </si>
  <si>
    <t>Less Royalty</t>
  </si>
  <si>
    <t>Fit-up</t>
  </si>
  <si>
    <t>Less Cc Comm</t>
  </si>
  <si>
    <t>Total Box Office Income</t>
  </si>
  <si>
    <t>Previews</t>
  </si>
  <si>
    <t>Less Contingency</t>
  </si>
  <si>
    <t>Press Night</t>
  </si>
  <si>
    <t>OTHER INCOME</t>
  </si>
  <si>
    <t>Close</t>
  </si>
  <si>
    <t>Total Income</t>
  </si>
  <si>
    <t>Transfer</t>
  </si>
  <si>
    <t>SURPLUS/DEFICIT</t>
  </si>
  <si>
    <t>Assumptions</t>
  </si>
  <si>
    <t>Changeable assumption-Type in</t>
  </si>
  <si>
    <t>Fixed Assumptions -Do not delete</t>
  </si>
  <si>
    <t>Attendants Rate</t>
  </si>
  <si>
    <t>Firemans rate</t>
  </si>
  <si>
    <t>No Attendants</t>
  </si>
  <si>
    <t>No Fireman</t>
  </si>
  <si>
    <t>6 attendants Quarry</t>
  </si>
  <si>
    <t>Dance Captain Rate</t>
  </si>
  <si>
    <t>Stage O/T Rate-Rehearse</t>
  </si>
  <si>
    <t>4 attendants Courtyard</t>
  </si>
  <si>
    <t>Technical O/T Rate-Rehearse</t>
  </si>
  <si>
    <t>Stage O/T Rate - Play</t>
  </si>
  <si>
    <t>Actors O/T Rate -Play</t>
  </si>
  <si>
    <t>Technical O/T Rate - Play</t>
  </si>
  <si>
    <t>No. Dressers</t>
  </si>
  <si>
    <t>Dressers Weekly Rate</t>
  </si>
  <si>
    <t>No. Crew</t>
  </si>
  <si>
    <t>Crew Weekly Rate</t>
  </si>
  <si>
    <t>No Supernumeries</t>
  </si>
  <si>
    <t>Supernumery Rate</t>
  </si>
  <si>
    <t>Actors rehearsal salary</t>
  </si>
  <si>
    <t>Musicians Session rate</t>
  </si>
  <si>
    <t>Actors Playing salary</t>
  </si>
  <si>
    <t>Rehearsal Weeks (inc Tech )</t>
  </si>
  <si>
    <t xml:space="preserve">Actors Subsistence </t>
  </si>
  <si>
    <t>Rehearsal Weeks (Band 1 + Tech )</t>
  </si>
  <si>
    <t>Rehearsal Weeks (Crew)</t>
  </si>
  <si>
    <t>No Playing Weeks</t>
  </si>
  <si>
    <t>Subsistence Touring</t>
  </si>
  <si>
    <t xml:space="preserve">No of Actors </t>
  </si>
  <si>
    <t>Holiday Pay Rate</t>
  </si>
  <si>
    <t>No. of  Musicians</t>
  </si>
  <si>
    <t>NI Rate</t>
  </si>
  <si>
    <t>No. of Performances</t>
  </si>
  <si>
    <t>NI Threshold(week)</t>
  </si>
  <si>
    <t>No Seats per Performance</t>
  </si>
  <si>
    <t>CC Comm Rate</t>
  </si>
  <si>
    <t>Average Ticket Yield</t>
  </si>
  <si>
    <t>% Capacity</t>
  </si>
  <si>
    <t>Tour Weeks</t>
  </si>
  <si>
    <t>Royalty rate</t>
  </si>
  <si>
    <t>Understudy Rate</t>
  </si>
  <si>
    <t>Travel rate per Journey</t>
  </si>
  <si>
    <t>No Understudies</t>
  </si>
  <si>
    <t xml:space="preserve">Actors O/T Rate-Rehearse </t>
  </si>
  <si>
    <t>No. Dance Captains</t>
  </si>
  <si>
    <t xml:space="preserve">Musician O/T Rate-Rehearse </t>
  </si>
  <si>
    <t>Musician O/T Rate - Play</t>
  </si>
  <si>
    <t>Creative Team Accom pn</t>
  </si>
  <si>
    <t>Creative Team Accom pw</t>
  </si>
  <si>
    <t>Child per perf</t>
  </si>
  <si>
    <t>Chaperone pw</t>
  </si>
  <si>
    <t>SUMMARY SHEET</t>
  </si>
  <si>
    <t xml:space="preserve">Finance </t>
  </si>
  <si>
    <t>INCOME</t>
  </si>
  <si>
    <t>Box-Office</t>
  </si>
  <si>
    <t>Co-Production</t>
  </si>
  <si>
    <t xml:space="preserve">Less Royalty </t>
  </si>
  <si>
    <t>PRE-PRODUCTION COSTS</t>
  </si>
  <si>
    <t>Creative Fees</t>
  </si>
  <si>
    <t>Actors inc Musicians &amp; Supers</t>
  </si>
  <si>
    <t>Production Materials</t>
  </si>
  <si>
    <t>Stage Management</t>
  </si>
  <si>
    <t>Fit-Up &amp; Get-Out</t>
  </si>
  <si>
    <t>Travel &amp; Misc</t>
  </si>
  <si>
    <t>Other Production Costs</t>
  </si>
  <si>
    <t>Marketing &amp; Press</t>
  </si>
  <si>
    <t>RUNNING COSTS</t>
  </si>
  <si>
    <t>Show Technical Staff</t>
  </si>
  <si>
    <t>Front of House</t>
  </si>
  <si>
    <t>SO - 1040</t>
  </si>
  <si>
    <t>WA - 1140</t>
  </si>
  <si>
    <t>WG - 1140</t>
  </si>
  <si>
    <t>CR - 1260</t>
  </si>
  <si>
    <t>CR - 1250</t>
  </si>
  <si>
    <t>CR - 1100</t>
  </si>
  <si>
    <t>CA - 2050</t>
  </si>
  <si>
    <t>CA - 1140</t>
  </si>
  <si>
    <t>TS - 2050</t>
  </si>
  <si>
    <t>TS - 2100</t>
  </si>
  <si>
    <t>TS - 1140</t>
  </si>
  <si>
    <t>TS - 1100</t>
  </si>
  <si>
    <t>Props - Labour (add)</t>
  </si>
  <si>
    <t>Wardrobe -Materials</t>
  </si>
  <si>
    <t>Wardrobe -Hires</t>
  </si>
  <si>
    <t>Wardrobe - Labour (add)</t>
  </si>
  <si>
    <t xml:space="preserve">Wigs -Labour (Add)     </t>
  </si>
  <si>
    <t>Props O/T</t>
  </si>
  <si>
    <t>Wardrobe O/T</t>
  </si>
  <si>
    <t>Wigs O/T</t>
  </si>
  <si>
    <t>LX O/T</t>
  </si>
  <si>
    <t xml:space="preserve">LX - Build Materials </t>
  </si>
  <si>
    <t>LX - Labour (add)</t>
  </si>
  <si>
    <t>Sound - Labour (add)</t>
  </si>
  <si>
    <t>Sound O/T</t>
  </si>
  <si>
    <t>PA - 2050</t>
  </si>
  <si>
    <t>Paintshop-Materials</t>
  </si>
  <si>
    <t>Paintshop-Hires</t>
  </si>
  <si>
    <t>Paintshop - Labour (add)</t>
  </si>
  <si>
    <t>Paintshop O/T</t>
  </si>
  <si>
    <t>PA - 2100</t>
  </si>
  <si>
    <t>PA - 1140</t>
  </si>
  <si>
    <t>PA - 1100</t>
  </si>
  <si>
    <t>PR - 2050</t>
  </si>
  <si>
    <t>PR - 2100</t>
  </si>
  <si>
    <t>PR - 1140</t>
  </si>
  <si>
    <t>PR - 1100</t>
  </si>
  <si>
    <t>WA - 2050</t>
  </si>
  <si>
    <t>WA - 2100</t>
  </si>
  <si>
    <t>WA - 1100</t>
  </si>
  <si>
    <t>WG - 2050</t>
  </si>
  <si>
    <t>WG - 2100</t>
  </si>
  <si>
    <t>WG - 1100</t>
  </si>
  <si>
    <t>LX - 2050</t>
  </si>
  <si>
    <t>LX - 2100</t>
  </si>
  <si>
    <t>LX - 1140</t>
  </si>
  <si>
    <t>LX - 1100</t>
  </si>
  <si>
    <t>LX - 2120</t>
  </si>
  <si>
    <t>LX - 2105</t>
  </si>
  <si>
    <t>SO - 2050</t>
  </si>
  <si>
    <t>SO - 2100</t>
  </si>
  <si>
    <t>SO - 1140</t>
  </si>
  <si>
    <t>SO - 1100</t>
  </si>
  <si>
    <r>
      <t>Dept</t>
    </r>
    <r>
      <rPr>
        <sz val="8"/>
        <rFont val="Arial"/>
        <family val="2"/>
      </rPr>
      <t>-1130</t>
    </r>
  </si>
  <si>
    <r>
      <t>Dept</t>
    </r>
    <r>
      <rPr>
        <sz val="8"/>
        <rFont val="Arial"/>
        <family val="2"/>
      </rPr>
      <t>-1120</t>
    </r>
  </si>
  <si>
    <t>PM - 2060</t>
  </si>
  <si>
    <t>MK - 4010/20/30/40</t>
  </si>
  <si>
    <t>PS - 4100/4110</t>
  </si>
  <si>
    <t>CH - 2130</t>
  </si>
  <si>
    <t>CH - 1280/2170</t>
  </si>
  <si>
    <t>CT - 2501</t>
  </si>
  <si>
    <t>FN - 7070</t>
  </si>
  <si>
    <t>CT - 2070</t>
  </si>
  <si>
    <t>CH - 1270/1280</t>
  </si>
  <si>
    <t>CA - 2090</t>
  </si>
  <si>
    <t>CA - 1100</t>
  </si>
  <si>
    <t>CA - 2100</t>
  </si>
  <si>
    <t>Workshop Build-Materials</t>
  </si>
  <si>
    <t>Workshop Build-Hires</t>
  </si>
  <si>
    <t xml:space="preserve">Workshop Build-Labour(Add)      </t>
  </si>
  <si>
    <t>Workshop O/T</t>
  </si>
  <si>
    <t>PR - 2090</t>
  </si>
  <si>
    <t>WA - 2090</t>
  </si>
  <si>
    <t>LX - 2090</t>
  </si>
  <si>
    <t>SO - 2090</t>
  </si>
  <si>
    <t>CT - 2200</t>
  </si>
  <si>
    <t>FH - 1230</t>
  </si>
  <si>
    <t>FH - 1240</t>
  </si>
  <si>
    <t>-</t>
  </si>
  <si>
    <t>Sub Total Net Stage Contribution</t>
  </si>
  <si>
    <t>Irrecoverable VAT</t>
  </si>
  <si>
    <t>Total Net Stage Contribution</t>
  </si>
  <si>
    <t>Totals</t>
  </si>
  <si>
    <t>Status of Production</t>
  </si>
  <si>
    <t>Income</t>
  </si>
  <si>
    <t>Variable assumptions</t>
  </si>
  <si>
    <t xml:space="preserve">Average Attendance </t>
  </si>
  <si>
    <t xml:space="preserve">% Attendance </t>
  </si>
  <si>
    <t>Total Attendance</t>
  </si>
  <si>
    <t xml:space="preserve">Co-Producer </t>
  </si>
  <si>
    <t>Project Grant(s)</t>
  </si>
  <si>
    <t>less Contingency</t>
  </si>
  <si>
    <t>less Credit Card Charges</t>
  </si>
  <si>
    <t>less Royalties</t>
  </si>
  <si>
    <t>Sub-Total</t>
  </si>
  <si>
    <t>Less: Pre Production Costs</t>
  </si>
  <si>
    <t>Actors inc musicans and supers</t>
  </si>
  <si>
    <t>Production Materials (Net)</t>
  </si>
  <si>
    <t>Stagemanagement</t>
  </si>
  <si>
    <t>Fit Up &amp; Get Out</t>
  </si>
  <si>
    <t>Travel &amp; Misc.</t>
  </si>
  <si>
    <t>Other production costs</t>
  </si>
  <si>
    <t>Co-pro Contribution</t>
  </si>
  <si>
    <t>Box Office</t>
  </si>
  <si>
    <t>Show Data</t>
  </si>
  <si>
    <t>Number of performances</t>
  </si>
  <si>
    <t>Playing weeks</t>
  </si>
  <si>
    <t>Company Size</t>
  </si>
  <si>
    <t>Musicans</t>
  </si>
  <si>
    <t>Actor Weeks</t>
  </si>
  <si>
    <t>Musican Weeks</t>
  </si>
  <si>
    <t>Rehearsal Weeks (inc tech)</t>
  </si>
  <si>
    <t>in house</t>
  </si>
  <si>
    <t>Hospitality</t>
  </si>
  <si>
    <t>Music Copying; Orchestration; Instrument Hire; Programming</t>
  </si>
  <si>
    <t>Education Resources</t>
  </si>
  <si>
    <t>Travel _Show-related</t>
  </si>
  <si>
    <t>5000 or 3000</t>
  </si>
  <si>
    <t>2000 or 750</t>
  </si>
  <si>
    <t>10000 or 7500</t>
  </si>
  <si>
    <t>2200 or 2000</t>
  </si>
  <si>
    <t>AC - ????</t>
  </si>
  <si>
    <t>Equity Pension Provision</t>
  </si>
  <si>
    <t xml:space="preserve">Equity Pension </t>
  </si>
  <si>
    <t>Net Stage Contribution (NSC)</t>
  </si>
  <si>
    <t>CT-2040</t>
  </si>
  <si>
    <t>PRS</t>
  </si>
  <si>
    <t>PM - 2050</t>
  </si>
  <si>
    <t>Co-pro transfers</t>
  </si>
  <si>
    <t>XX - 1110</t>
  </si>
  <si>
    <t>Meal Pay</t>
  </si>
  <si>
    <t>Return to Vegas</t>
  </si>
  <si>
    <t>The Welly</t>
  </si>
  <si>
    <t>v1</t>
  </si>
  <si>
    <t>LX Operator</t>
  </si>
  <si>
    <t>LX Production</t>
  </si>
  <si>
    <t>BC</t>
  </si>
  <si>
    <t>Photography</t>
  </si>
  <si>
    <t>inc allowance for duty of care volunteers</t>
  </si>
  <si>
    <t>Average Net Ticket Yield</t>
  </si>
  <si>
    <t>Dresser / Wardrobe Maintenace</t>
  </si>
  <si>
    <t>Venue Fees</t>
  </si>
  <si>
    <t>HCoC Site Specific Productions</t>
  </si>
  <si>
    <t>Welly</t>
  </si>
  <si>
    <t>Sept/Oct '17</t>
  </si>
  <si>
    <t>Band Member - honorarium</t>
  </si>
  <si>
    <t>Headscarf</t>
  </si>
  <si>
    <t>TBC</t>
  </si>
  <si>
    <t>Venue Preparation</t>
  </si>
  <si>
    <t>Insurance / Licence</t>
  </si>
  <si>
    <t>MP</t>
  </si>
  <si>
    <t>Unthanks</t>
  </si>
  <si>
    <t>SF</t>
  </si>
  <si>
    <t>Rehearsal Venue</t>
  </si>
  <si>
    <t>Site TBC</t>
  </si>
  <si>
    <t>Oct/Nov</t>
  </si>
  <si>
    <t>Theatre Tax Relief - 16% of Pre-Prod Costs (not Admin / Marketing)</t>
  </si>
  <si>
    <t>NSC less TTR</t>
  </si>
  <si>
    <t xml:space="preserve">Script &amp; Music Workshop </t>
  </si>
  <si>
    <t>Movement / Choreo</t>
  </si>
  <si>
    <t>inc allowance for duty of care volunteers &amp; security</t>
  </si>
  <si>
    <t>NET BOX-OFFICE</t>
  </si>
  <si>
    <t>Production Manager</t>
  </si>
  <si>
    <t>Code:</t>
  </si>
  <si>
    <t>In house</t>
  </si>
  <si>
    <t>Sound Production</t>
  </si>
  <si>
    <t>BC - commission</t>
  </si>
  <si>
    <t>RG - commission</t>
  </si>
  <si>
    <t>Attendants / Security Rate</t>
  </si>
  <si>
    <t>FOH - Attendants / Security</t>
  </si>
  <si>
    <t>Dramaturg</t>
  </si>
  <si>
    <t>Associate Director - Community</t>
  </si>
  <si>
    <t>Costume Supervisor</t>
  </si>
  <si>
    <t>8 x Profesisonal Cast</t>
  </si>
  <si>
    <t>30 x community Cast</t>
  </si>
  <si>
    <t>Photography / Filming</t>
  </si>
  <si>
    <t>Community Cast</t>
  </si>
  <si>
    <t>Company Pension</t>
  </si>
  <si>
    <t>Pension Rate</t>
  </si>
  <si>
    <t>TTR</t>
  </si>
  <si>
    <t>£10 per community cast member per perf</t>
  </si>
  <si>
    <t>NB No Chaperones - all cast to be 16+</t>
  </si>
  <si>
    <t>`</t>
  </si>
  <si>
    <t>Artistic Consultant</t>
  </si>
  <si>
    <t>R Creed</t>
  </si>
  <si>
    <t>Access to Royal Exchange stores</t>
  </si>
  <si>
    <t xml:space="preserve">General Tech provision for venue, prep, run, in / out, </t>
  </si>
  <si>
    <t>Hull Community Cast</t>
  </si>
  <si>
    <t>all spaces used, backstage facilities, infrastrcuture etc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</si>
</sst>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.00;\(#,##0.00\)"/>
    <numFmt numFmtId="166" formatCode="&quot;£&quot;#,##0_);[Red]\(&quot;£&quot;#,##0\)"/>
    <numFmt numFmtId="167" formatCode="#,##0.;\(#,##0.\)"/>
    <numFmt numFmtId="168" formatCode="0.0%"/>
    <numFmt numFmtId="169" formatCode="#,##0_ ;\-#,##0\ "/>
    <numFmt numFmtId="170" formatCode="&quot;£&quot;#,##0.00"/>
    <numFmt numFmtId="171" formatCode="#,##0.0;\(#,##0.0\)"/>
    <numFmt numFmtId="172" formatCode="#,##0.0"/>
    <numFmt numFmtId="173" formatCode="_-* #,##0.000_-;\-* #,##0.000_-;_-* &quot;-&quot;???_-;_-@_-"/>
    <numFmt numFmtId="174" formatCode="_-* #,##0.0000_-;\-* #,##0.0000_-;_-* &quot;-&quot;????_-;_-@_-"/>
    <numFmt numFmtId="175" formatCode="_-* #,##0.0_-;\-* #,##0.0_-;_-* &quot;-&quot;??_-;_-@_-"/>
    <numFmt numFmtId="176" formatCode="_-* #,##0_-;\-* #,##0_-;_-* &quot;-&quot;??_-;_-@_-"/>
    <numFmt numFmtId="177" formatCode="0.000"/>
    <numFmt numFmtId="178" formatCode="0.0"/>
    <numFmt numFmtId="179" formatCode="_-* #,##0.0_-;\-* #,##0.0_-;_-* &quot;-&quot;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4">
    <font>
      <sz val="10"/>
      <name val="Arial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9"/>
      <color indexed="12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u val="single"/>
      <sz val="8"/>
      <color indexed="10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0"/>
      <name val="Arial"/>
      <family val="2"/>
    </font>
    <font>
      <i/>
      <u val="single"/>
      <sz val="12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9"/>
      <name val="Arial"/>
      <family val="2"/>
    </font>
    <font>
      <sz val="12"/>
      <name val="Geneva"/>
      <family val="0"/>
    </font>
    <font>
      <b/>
      <u val="single"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color indexed="12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>
      <alignment/>
      <protection/>
    </xf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165" fontId="2" fillId="0" borderId="0" applyBorder="0" applyProtection="0">
      <alignment/>
    </xf>
    <xf numFmtId="164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164" fontId="1" fillId="0" borderId="10" xfId="59" applyNumberFormat="1" applyFont="1" applyBorder="1">
      <alignment/>
    </xf>
    <xf numFmtId="164" fontId="3" fillId="0" borderId="0" xfId="59" applyNumberFormat="1" applyFont="1" applyBorder="1">
      <alignment/>
    </xf>
    <xf numFmtId="164" fontId="1" fillId="0" borderId="11" xfId="59" applyNumberFormat="1" applyFont="1" applyBorder="1">
      <alignment/>
    </xf>
    <xf numFmtId="164" fontId="4" fillId="0" borderId="12" xfId="59" applyNumberFormat="1" applyFont="1" applyBorder="1">
      <alignment/>
    </xf>
    <xf numFmtId="164" fontId="4" fillId="0" borderId="11" xfId="59" applyNumberFormat="1" applyFont="1" applyBorder="1">
      <alignment/>
    </xf>
    <xf numFmtId="164" fontId="4" fillId="0" borderId="0" xfId="59" applyNumberFormat="1" applyFont="1" applyBorder="1">
      <alignment/>
    </xf>
    <xf numFmtId="164" fontId="1" fillId="0" borderId="13" xfId="59" applyNumberFormat="1" applyFont="1" applyBorder="1" applyAlignment="1">
      <alignment horizontal="left"/>
    </xf>
    <xf numFmtId="164" fontId="5" fillId="0" borderId="13" xfId="59" applyNumberFormat="1" applyFont="1" applyBorder="1" applyAlignment="1">
      <alignment horizontal="center"/>
    </xf>
    <xf numFmtId="164" fontId="6" fillId="0" borderId="14" xfId="59" applyNumberFormat="1" applyFont="1" applyBorder="1" applyAlignment="1">
      <alignment horizontal="center"/>
    </xf>
    <xf numFmtId="15" fontId="4" fillId="0" borderId="0" xfId="59" applyNumberFormat="1" applyFont="1" applyBorder="1">
      <alignment/>
    </xf>
    <xf numFmtId="15" fontId="1" fillId="0" borderId="15" xfId="59" applyNumberFormat="1" applyFont="1" applyBorder="1" applyAlignment="1">
      <alignment horizontal="left"/>
    </xf>
    <xf numFmtId="164" fontId="3" fillId="0" borderId="16" xfId="59" applyNumberFormat="1" applyFont="1" applyBorder="1">
      <alignment/>
    </xf>
    <xf numFmtId="164" fontId="4" fillId="0" borderId="16" xfId="59" applyNumberFormat="1" applyFont="1" applyBorder="1">
      <alignment/>
    </xf>
    <xf numFmtId="164" fontId="7" fillId="0" borderId="17" xfId="59" applyNumberFormat="1" applyFont="1" applyBorder="1">
      <alignment/>
    </xf>
    <xf numFmtId="164" fontId="4" fillId="0" borderId="18" xfId="59" applyNumberFormat="1" applyFont="1" applyBorder="1">
      <alignment/>
    </xf>
    <xf numFmtId="164" fontId="4" fillId="0" borderId="17" xfId="59" applyNumberFormat="1" applyFont="1" applyBorder="1">
      <alignment/>
    </xf>
    <xf numFmtId="165" fontId="8" fillId="0" borderId="0" xfId="59" applyFont="1">
      <alignment/>
    </xf>
    <xf numFmtId="165" fontId="8" fillId="0" borderId="0" xfId="59" applyFont="1" applyBorder="1">
      <alignment/>
    </xf>
    <xf numFmtId="164" fontId="9" fillId="0" borderId="10" xfId="58" applyNumberFormat="1" applyFont="1" applyBorder="1" applyAlignment="1">
      <alignment horizontal="center"/>
      <protection/>
    </xf>
    <xf numFmtId="164" fontId="9" fillId="0" borderId="19" xfId="58" applyNumberFormat="1" applyFont="1" applyBorder="1" applyAlignment="1">
      <alignment horizontal="left"/>
      <protection/>
    </xf>
    <xf numFmtId="164" fontId="6" fillId="0" borderId="20" xfId="58" applyNumberFormat="1" applyFont="1" applyBorder="1" applyAlignment="1">
      <alignment horizontal="center"/>
      <protection/>
    </xf>
    <xf numFmtId="164" fontId="6" fillId="0" borderId="21" xfId="58" applyNumberFormat="1" applyFont="1" applyBorder="1" applyAlignment="1">
      <alignment horizontal="center"/>
      <protection/>
    </xf>
    <xf numFmtId="164" fontId="6" fillId="0" borderId="22" xfId="58" applyNumberFormat="1" applyFont="1" applyBorder="1" applyAlignment="1">
      <alignment horizontal="center"/>
      <protection/>
    </xf>
    <xf numFmtId="164" fontId="6" fillId="0" borderId="20" xfId="58" applyNumberFormat="1" applyFont="1" applyBorder="1" applyAlignment="1">
      <alignment horizontal="left"/>
      <protection/>
    </xf>
    <xf numFmtId="164" fontId="6" fillId="0" borderId="21" xfId="58" applyNumberFormat="1" applyFont="1" applyBorder="1" applyAlignment="1">
      <alignment horizontal="left"/>
      <protection/>
    </xf>
    <xf numFmtId="164" fontId="6" fillId="0" borderId="0" xfId="58" applyNumberFormat="1" applyFont="1" applyBorder="1" applyAlignment="1">
      <alignment horizontal="left"/>
      <protection/>
    </xf>
    <xf numFmtId="164" fontId="9" fillId="0" borderId="10" xfId="58" applyNumberFormat="1" applyFont="1" applyBorder="1" applyAlignment="1">
      <alignment horizontal="left" wrapText="1"/>
      <protection/>
    </xf>
    <xf numFmtId="164" fontId="6" fillId="0" borderId="19" xfId="58" applyNumberFormat="1" applyFont="1" applyBorder="1" applyAlignment="1">
      <alignment horizontal="center" wrapText="1"/>
      <protection/>
    </xf>
    <xf numFmtId="164" fontId="6" fillId="33" borderId="19" xfId="58" applyNumberFormat="1" applyFont="1" applyFill="1" applyBorder="1" applyAlignment="1">
      <alignment horizontal="center" wrapText="1"/>
      <protection/>
    </xf>
    <xf numFmtId="164" fontId="6" fillId="34" borderId="19" xfId="58" applyNumberFormat="1" applyFont="1" applyFill="1" applyBorder="1" applyAlignment="1">
      <alignment horizontal="center" wrapText="1"/>
      <protection/>
    </xf>
    <xf numFmtId="164" fontId="6" fillId="0" borderId="20" xfId="58" applyNumberFormat="1" applyFont="1" applyBorder="1" applyAlignment="1">
      <alignment horizontal="center" wrapText="1"/>
      <protection/>
    </xf>
    <xf numFmtId="164" fontId="6" fillId="0" borderId="0" xfId="58" applyNumberFormat="1" applyFont="1" applyBorder="1" applyAlignment="1">
      <alignment horizontal="center" wrapText="1"/>
      <protection/>
    </xf>
    <xf numFmtId="164" fontId="10" fillId="0" borderId="13" xfId="58" applyNumberFormat="1" applyFont="1" applyBorder="1">
      <alignment/>
      <protection/>
    </xf>
    <xf numFmtId="164" fontId="10" fillId="0" borderId="13" xfId="59" applyNumberFormat="1" applyFont="1" applyBorder="1">
      <alignment/>
    </xf>
    <xf numFmtId="41" fontId="10" fillId="0" borderId="13" xfId="59" applyNumberFormat="1" applyFont="1" applyBorder="1">
      <alignment/>
    </xf>
    <xf numFmtId="41" fontId="10" fillId="33" borderId="13" xfId="59" applyNumberFormat="1" applyFont="1" applyFill="1" applyBorder="1">
      <alignment/>
    </xf>
    <xf numFmtId="41" fontId="10" fillId="34" borderId="13" xfId="59" applyNumberFormat="1" applyFont="1" applyFill="1" applyBorder="1">
      <alignment/>
    </xf>
    <xf numFmtId="41" fontId="10" fillId="0" borderId="14" xfId="59" applyNumberFormat="1" applyFont="1" applyBorder="1">
      <alignment/>
    </xf>
    <xf numFmtId="0" fontId="10" fillId="33" borderId="13" xfId="59" applyNumberFormat="1" applyFont="1" applyFill="1" applyBorder="1">
      <alignment/>
    </xf>
    <xf numFmtId="41" fontId="10" fillId="0" borderId="0" xfId="59" applyNumberFormat="1" applyFont="1" applyBorder="1">
      <alignment/>
    </xf>
    <xf numFmtId="164" fontId="10" fillId="0" borderId="13" xfId="58" applyNumberFormat="1" applyFont="1" applyFill="1" applyBorder="1">
      <alignment/>
      <protection/>
    </xf>
    <xf numFmtId="164" fontId="10" fillId="0" borderId="13" xfId="59" applyNumberFormat="1" applyFont="1" applyFill="1" applyBorder="1">
      <alignment/>
    </xf>
    <xf numFmtId="164" fontId="11" fillId="0" borderId="19" xfId="58" applyNumberFormat="1" applyFont="1" applyBorder="1" applyAlignment="1">
      <alignment horizontal="left" wrapText="1"/>
      <protection/>
    </xf>
    <xf numFmtId="164" fontId="10" fillId="0" borderId="19" xfId="58" applyNumberFormat="1" applyFont="1" applyBorder="1">
      <alignment/>
      <protection/>
    </xf>
    <xf numFmtId="164" fontId="10" fillId="0" borderId="19" xfId="59" applyNumberFormat="1" applyFont="1" applyBorder="1">
      <alignment/>
    </xf>
    <xf numFmtId="41" fontId="10" fillId="0" borderId="19" xfId="59" applyNumberFormat="1" applyFont="1" applyBorder="1">
      <alignment/>
    </xf>
    <xf numFmtId="41" fontId="10" fillId="33" borderId="19" xfId="59" applyNumberFormat="1" applyFont="1" applyFill="1" applyBorder="1">
      <alignment/>
    </xf>
    <xf numFmtId="41" fontId="10" fillId="34" borderId="19" xfId="59" applyNumberFormat="1" applyFont="1" applyFill="1" applyBorder="1">
      <alignment/>
    </xf>
    <xf numFmtId="164" fontId="10" fillId="0" borderId="20" xfId="59" applyNumberFormat="1" applyFont="1" applyBorder="1">
      <alignment/>
    </xf>
    <xf numFmtId="164" fontId="10" fillId="0" borderId="15" xfId="58" applyNumberFormat="1" applyFont="1" applyBorder="1">
      <alignment/>
      <protection/>
    </xf>
    <xf numFmtId="0" fontId="10" fillId="0" borderId="13" xfId="59" applyNumberFormat="1" applyFont="1" applyBorder="1">
      <alignment/>
    </xf>
    <xf numFmtId="164" fontId="10" fillId="0" borderId="15" xfId="58" applyNumberFormat="1" applyFont="1" applyFill="1" applyBorder="1">
      <alignment/>
      <protection/>
    </xf>
    <xf numFmtId="165" fontId="8" fillId="34" borderId="0" xfId="59" applyFont="1" applyFill="1">
      <alignment/>
    </xf>
    <xf numFmtId="0" fontId="12" fillId="0" borderId="13" xfId="59" applyNumberFormat="1" applyFont="1" applyBorder="1">
      <alignment/>
    </xf>
    <xf numFmtId="164" fontId="12" fillId="0" borderId="13" xfId="59" applyNumberFormat="1" applyFont="1" applyBorder="1">
      <alignment/>
    </xf>
    <xf numFmtId="41" fontId="12" fillId="0" borderId="13" xfId="59" applyNumberFormat="1" applyFont="1" applyBorder="1">
      <alignment/>
    </xf>
    <xf numFmtId="41" fontId="12" fillId="33" borderId="13" xfId="59" applyNumberFormat="1" applyFont="1" applyFill="1" applyBorder="1">
      <alignment/>
    </xf>
    <xf numFmtId="41" fontId="12" fillId="34" borderId="13" xfId="59" applyNumberFormat="1" applyFont="1" applyFill="1" applyBorder="1">
      <alignment/>
    </xf>
    <xf numFmtId="41" fontId="12" fillId="0" borderId="14" xfId="59" applyNumberFormat="1" applyFont="1" applyBorder="1">
      <alignment/>
    </xf>
    <xf numFmtId="164" fontId="10" fillId="0" borderId="23" xfId="58" applyNumberFormat="1" applyFont="1" applyBorder="1">
      <alignment/>
      <protection/>
    </xf>
    <xf numFmtId="0" fontId="10" fillId="0" borderId="23" xfId="59" applyNumberFormat="1" applyFont="1" applyBorder="1">
      <alignment/>
    </xf>
    <xf numFmtId="164" fontId="10" fillId="0" borderId="23" xfId="59" applyNumberFormat="1" applyFont="1" applyBorder="1">
      <alignment/>
    </xf>
    <xf numFmtId="41" fontId="10" fillId="0" borderId="23" xfId="59" applyNumberFormat="1" applyFont="1" applyBorder="1">
      <alignment/>
    </xf>
    <xf numFmtId="41" fontId="10" fillId="33" borderId="23" xfId="59" applyNumberFormat="1" applyFont="1" applyFill="1" applyBorder="1">
      <alignment/>
    </xf>
    <xf numFmtId="41" fontId="10" fillId="34" borderId="23" xfId="59" applyNumberFormat="1" applyFont="1" applyFill="1" applyBorder="1">
      <alignment/>
    </xf>
    <xf numFmtId="41" fontId="10" fillId="0" borderId="24" xfId="59" applyNumberFormat="1" applyFont="1" applyBorder="1">
      <alignment/>
    </xf>
    <xf numFmtId="164" fontId="10" fillId="0" borderId="25" xfId="58" applyNumberFormat="1" applyFont="1" applyBorder="1">
      <alignment/>
      <protection/>
    </xf>
    <xf numFmtId="0" fontId="10" fillId="0" borderId="25" xfId="59" applyNumberFormat="1" applyFont="1" applyBorder="1">
      <alignment/>
    </xf>
    <xf numFmtId="164" fontId="10" fillId="0" borderId="25" xfId="59" applyNumberFormat="1" applyFont="1" applyBorder="1">
      <alignment/>
    </xf>
    <xf numFmtId="41" fontId="10" fillId="0" borderId="25" xfId="59" applyNumberFormat="1" applyFont="1" applyBorder="1">
      <alignment/>
    </xf>
    <xf numFmtId="41" fontId="10" fillId="33" borderId="25" xfId="59" applyNumberFormat="1" applyFont="1" applyFill="1" applyBorder="1">
      <alignment/>
    </xf>
    <xf numFmtId="41" fontId="10" fillId="34" borderId="25" xfId="59" applyNumberFormat="1" applyFont="1" applyFill="1" applyBorder="1">
      <alignment/>
    </xf>
    <xf numFmtId="41" fontId="10" fillId="0" borderId="26" xfId="59" applyNumberFormat="1" applyFont="1" applyBorder="1">
      <alignment/>
    </xf>
    <xf numFmtId="41" fontId="10" fillId="0" borderId="13" xfId="59" applyNumberFormat="1" applyFont="1" applyBorder="1" applyAlignment="1">
      <alignment horizontal="right"/>
    </xf>
    <xf numFmtId="164" fontId="13" fillId="0" borderId="19" xfId="58" applyNumberFormat="1" applyFont="1" applyBorder="1" applyAlignment="1">
      <alignment horizontal="center" textRotation="255"/>
      <protection/>
    </xf>
    <xf numFmtId="41" fontId="10" fillId="0" borderId="20" xfId="59" applyNumberFormat="1" applyFont="1" applyBorder="1">
      <alignment/>
    </xf>
    <xf numFmtId="164" fontId="13" fillId="0" borderId="0" xfId="58" applyNumberFormat="1" applyFont="1" applyBorder="1" applyAlignment="1">
      <alignment horizontal="center" textRotation="255"/>
      <protection/>
    </xf>
    <xf numFmtId="164" fontId="10" fillId="0" borderId="0" xfId="58" applyNumberFormat="1" applyFont="1" applyBorder="1">
      <alignment/>
      <protection/>
    </xf>
    <xf numFmtId="164" fontId="10" fillId="0" borderId="0" xfId="59" applyNumberFormat="1" applyFont="1" applyBorder="1">
      <alignment/>
    </xf>
    <xf numFmtId="41" fontId="10" fillId="0" borderId="0" xfId="59" applyNumberFormat="1" applyFont="1" applyFill="1" applyBorder="1">
      <alignment/>
    </xf>
    <xf numFmtId="41" fontId="10" fillId="33" borderId="20" xfId="59" applyNumberFormat="1" applyFont="1" applyFill="1" applyBorder="1">
      <alignment/>
    </xf>
    <xf numFmtId="41" fontId="10" fillId="34" borderId="20" xfId="59" applyNumberFormat="1" applyFont="1" applyFill="1" applyBorder="1">
      <alignment/>
    </xf>
    <xf numFmtId="164" fontId="1" fillId="0" borderId="19" xfId="59" applyNumberFormat="1" applyFont="1" applyBorder="1" applyAlignment="1">
      <alignment horizontal="center"/>
    </xf>
    <xf numFmtId="164" fontId="1" fillId="0" borderId="20" xfId="59" applyNumberFormat="1" applyFont="1" applyBorder="1" applyAlignment="1">
      <alignment horizontal="left"/>
    </xf>
    <xf numFmtId="164" fontId="1" fillId="0" borderId="21" xfId="59" applyNumberFormat="1" applyFont="1" applyBorder="1" applyAlignment="1">
      <alignment horizontal="center"/>
    </xf>
    <xf numFmtId="164" fontId="10" fillId="0" borderId="22" xfId="59" applyNumberFormat="1" applyFont="1" applyBorder="1" applyAlignment="1">
      <alignment horizontal="center"/>
    </xf>
    <xf numFmtId="164" fontId="10" fillId="0" borderId="20" xfId="59" applyNumberFormat="1" applyFont="1" applyBorder="1" applyAlignment="1">
      <alignment horizontal="center"/>
    </xf>
    <xf numFmtId="165" fontId="10" fillId="0" borderId="21" xfId="59" applyFont="1" applyBorder="1">
      <alignment/>
    </xf>
    <xf numFmtId="165" fontId="14" fillId="0" borderId="21" xfId="59" applyFont="1" applyBorder="1">
      <alignment/>
    </xf>
    <xf numFmtId="165" fontId="8" fillId="0" borderId="21" xfId="59" applyFont="1" applyBorder="1">
      <alignment/>
    </xf>
    <xf numFmtId="165" fontId="8" fillId="0" borderId="27" xfId="59" applyFont="1" applyBorder="1">
      <alignment/>
    </xf>
    <xf numFmtId="165" fontId="15" fillId="0" borderId="22" xfId="59" applyFont="1" applyBorder="1" applyAlignment="1">
      <alignment horizontal="center"/>
    </xf>
    <xf numFmtId="164" fontId="4" fillId="0" borderId="13" xfId="59" applyNumberFormat="1" applyFont="1" applyBorder="1">
      <alignment/>
    </xf>
    <xf numFmtId="164" fontId="1" fillId="0" borderId="10" xfId="59" applyNumberFormat="1" applyFont="1" applyBorder="1" applyAlignment="1">
      <alignment horizontal="center"/>
    </xf>
    <xf numFmtId="164" fontId="1" fillId="0" borderId="28" xfId="59" applyNumberFormat="1" applyFont="1" applyBorder="1" applyAlignment="1">
      <alignment horizontal="center"/>
    </xf>
    <xf numFmtId="164" fontId="3" fillId="0" borderId="28" xfId="59" applyNumberFormat="1" applyFont="1" applyBorder="1" applyAlignment="1">
      <alignment horizontal="center"/>
    </xf>
    <xf numFmtId="164" fontId="1" fillId="33" borderId="29" xfId="59" applyNumberFormat="1" applyFont="1" applyFill="1" applyBorder="1" applyAlignment="1">
      <alignment horizontal="center"/>
    </xf>
    <xf numFmtId="165" fontId="3" fillId="0" borderId="30" xfId="59" applyFont="1" applyBorder="1" applyAlignment="1">
      <alignment horizontal="center"/>
    </xf>
    <xf numFmtId="165" fontId="1" fillId="34" borderId="30" xfId="59" applyFont="1" applyFill="1" applyBorder="1" applyAlignment="1">
      <alignment horizontal="center"/>
    </xf>
    <xf numFmtId="165" fontId="15" fillId="0" borderId="21" xfId="59" applyFont="1" applyBorder="1" applyAlignment="1">
      <alignment horizontal="center"/>
    </xf>
    <xf numFmtId="0" fontId="17" fillId="0" borderId="0" xfId="0" applyFont="1" applyAlignment="1">
      <alignment/>
    </xf>
    <xf numFmtId="164" fontId="4" fillId="0" borderId="13" xfId="59" applyNumberFormat="1" applyFont="1" applyBorder="1" applyAlignment="1">
      <alignment horizontal="left"/>
    </xf>
    <xf numFmtId="164" fontId="4" fillId="0" borderId="15" xfId="59" applyNumberFormat="1" applyFont="1" applyBorder="1" applyAlignment="1">
      <alignment horizontal="right"/>
    </xf>
    <xf numFmtId="164" fontId="3" fillId="0" borderId="15" xfId="59" applyNumberFormat="1" applyFont="1" applyBorder="1" applyAlignment="1">
      <alignment horizontal="center"/>
    </xf>
    <xf numFmtId="164" fontId="1" fillId="0" borderId="15" xfId="59" applyNumberFormat="1" applyFont="1" applyBorder="1" applyAlignment="1">
      <alignment horizontal="center"/>
    </xf>
    <xf numFmtId="164" fontId="4" fillId="33" borderId="13" xfId="59" applyNumberFormat="1" applyFont="1" applyFill="1" applyBorder="1" applyAlignment="1">
      <alignment horizontal="center"/>
    </xf>
    <xf numFmtId="164" fontId="18" fillId="0" borderId="13" xfId="59" applyNumberFormat="1" applyFont="1" applyFill="1" applyBorder="1" applyAlignment="1">
      <alignment horizontal="center"/>
    </xf>
    <xf numFmtId="164" fontId="4" fillId="34" borderId="13" xfId="59" applyNumberFormat="1" applyFont="1" applyFill="1" applyBorder="1" applyAlignment="1">
      <alignment horizontal="center"/>
    </xf>
    <xf numFmtId="165" fontId="8" fillId="0" borderId="27" xfId="59" applyFont="1" applyBorder="1" applyAlignment="1">
      <alignment horizontal="left"/>
    </xf>
    <xf numFmtId="165" fontId="8" fillId="0" borderId="11" xfId="59" applyFont="1" applyBorder="1" applyAlignment="1">
      <alignment horizontal="left"/>
    </xf>
    <xf numFmtId="164" fontId="4" fillId="0" borderId="15" xfId="59" applyNumberFormat="1" applyFont="1" applyBorder="1">
      <alignment/>
    </xf>
    <xf numFmtId="164" fontId="18" fillId="0" borderId="15" xfId="59" applyNumberFormat="1" applyFont="1" applyBorder="1" applyAlignment="1">
      <alignment horizontal="left"/>
    </xf>
    <xf numFmtId="164" fontId="4" fillId="0" borderId="15" xfId="59" applyNumberFormat="1" applyFont="1" applyBorder="1" applyAlignment="1">
      <alignment horizontal="left"/>
    </xf>
    <xf numFmtId="165" fontId="8" fillId="0" borderId="0" xfId="59" applyFont="1" applyBorder="1" applyAlignment="1">
      <alignment horizontal="left"/>
    </xf>
    <xf numFmtId="165" fontId="8" fillId="0" borderId="15" xfId="59" applyFont="1" applyBorder="1" applyAlignment="1">
      <alignment horizontal="left"/>
    </xf>
    <xf numFmtId="164" fontId="18" fillId="0" borderId="15" xfId="59" applyNumberFormat="1" applyFont="1" applyBorder="1">
      <alignment/>
    </xf>
    <xf numFmtId="164" fontId="19" fillId="0" borderId="15" xfId="59" applyNumberFormat="1" applyFont="1" applyBorder="1">
      <alignment/>
    </xf>
    <xf numFmtId="165" fontId="0" fillId="0" borderId="0" xfId="59" applyFont="1" applyBorder="1" applyAlignment="1">
      <alignment horizontal="left"/>
    </xf>
    <xf numFmtId="165" fontId="0" fillId="0" borderId="15" xfId="59" applyFont="1" applyBorder="1" applyAlignment="1">
      <alignment horizontal="left"/>
    </xf>
    <xf numFmtId="164" fontId="18" fillId="0" borderId="17" xfId="59" applyNumberFormat="1" applyFont="1" applyBorder="1">
      <alignment/>
    </xf>
    <xf numFmtId="165" fontId="8" fillId="0" borderId="0" xfId="59" applyFont="1" applyBorder="1" applyAlignment="1">
      <alignment horizontal="center"/>
    </xf>
    <xf numFmtId="165" fontId="8" fillId="0" borderId="15" xfId="59" applyFont="1" applyBorder="1" applyAlignment="1">
      <alignment horizontal="center"/>
    </xf>
    <xf numFmtId="164" fontId="18" fillId="0" borderId="16" xfId="59" applyNumberFormat="1" applyFont="1" applyBorder="1" applyAlignment="1">
      <alignment horizontal="center" textRotation="255"/>
    </xf>
    <xf numFmtId="41" fontId="4" fillId="0" borderId="16" xfId="58" applyNumberFormat="1" applyFont="1" applyBorder="1">
      <alignment/>
      <protection/>
    </xf>
    <xf numFmtId="41" fontId="18" fillId="0" borderId="16" xfId="58" applyNumberFormat="1" applyFont="1" applyBorder="1">
      <alignment/>
      <protection/>
    </xf>
    <xf numFmtId="164" fontId="4" fillId="33" borderId="19" xfId="59" applyNumberFormat="1" applyFont="1" applyFill="1" applyBorder="1" applyAlignment="1">
      <alignment horizontal="center"/>
    </xf>
    <xf numFmtId="164" fontId="18" fillId="0" borderId="19" xfId="59" applyNumberFormat="1" applyFont="1" applyFill="1" applyBorder="1" applyAlignment="1">
      <alignment horizontal="center"/>
    </xf>
    <xf numFmtId="164" fontId="4" fillId="34" borderId="19" xfId="59" applyNumberFormat="1" applyFont="1" applyFill="1" applyBorder="1" applyAlignment="1">
      <alignment horizontal="center"/>
    </xf>
    <xf numFmtId="164" fontId="4" fillId="33" borderId="20" xfId="59" applyNumberFormat="1" applyFont="1" applyFill="1" applyBorder="1" applyAlignment="1">
      <alignment horizontal="center"/>
    </xf>
    <xf numFmtId="165" fontId="8" fillId="0" borderId="20" xfId="59" applyFont="1" applyBorder="1" applyAlignment="1">
      <alignment horizontal="center"/>
    </xf>
    <xf numFmtId="165" fontId="8" fillId="0" borderId="21" xfId="59" applyFont="1" applyBorder="1" applyAlignment="1">
      <alignment horizontal="center"/>
    </xf>
    <xf numFmtId="165" fontId="8" fillId="0" borderId="22" xfId="59" applyFont="1" applyBorder="1" applyAlignment="1">
      <alignment horizontal="center"/>
    </xf>
    <xf numFmtId="164" fontId="6" fillId="0" borderId="19" xfId="58" applyNumberFormat="1" applyFont="1" applyBorder="1" applyAlignment="1">
      <alignment horizontal="center"/>
      <protection/>
    </xf>
    <xf numFmtId="164" fontId="9" fillId="0" borderId="21" xfId="58" applyNumberFormat="1" applyFont="1" applyBorder="1">
      <alignment/>
      <protection/>
    </xf>
    <xf numFmtId="164" fontId="6" fillId="34" borderId="30" xfId="58" applyNumberFormat="1" applyFont="1" applyFill="1" applyBorder="1" applyAlignment="1">
      <alignment horizontal="center"/>
      <protection/>
    </xf>
    <xf numFmtId="165" fontId="15" fillId="0" borderId="0" xfId="59" applyFont="1" applyBorder="1" applyAlignment="1">
      <alignment horizontal="center"/>
    </xf>
    <xf numFmtId="164" fontId="10" fillId="0" borderId="13" xfId="58" applyNumberFormat="1" applyFont="1" applyBorder="1" applyAlignment="1">
      <alignment horizontal="center"/>
      <protection/>
    </xf>
    <xf numFmtId="164" fontId="10" fillId="0" borderId="12" xfId="59" applyNumberFormat="1" applyFont="1" applyBorder="1" applyAlignment="1">
      <alignment horizontal="center"/>
    </xf>
    <xf numFmtId="164" fontId="10" fillId="0" borderId="11" xfId="59" applyNumberFormat="1" applyFont="1" applyBorder="1" applyAlignment="1">
      <alignment horizontal="center"/>
    </xf>
    <xf numFmtId="164" fontId="10" fillId="34" borderId="15" xfId="59" applyNumberFormat="1" applyFont="1" applyFill="1" applyBorder="1" applyAlignment="1">
      <alignment horizontal="center"/>
    </xf>
    <xf numFmtId="165" fontId="8" fillId="0" borderId="27" xfId="59" applyFont="1" applyBorder="1" applyAlignment="1">
      <alignment horizontal="center"/>
    </xf>
    <xf numFmtId="165" fontId="8" fillId="0" borderId="11" xfId="59" applyFont="1" applyBorder="1" applyAlignment="1">
      <alignment horizontal="center"/>
    </xf>
    <xf numFmtId="165" fontId="0" fillId="0" borderId="0" xfId="59" applyFont="1" applyBorder="1" applyAlignment="1">
      <alignment horizontal="center"/>
    </xf>
    <xf numFmtId="165" fontId="0" fillId="0" borderId="0" xfId="59" applyFont="1" applyBorder="1">
      <alignment/>
    </xf>
    <xf numFmtId="164" fontId="10" fillId="0" borderId="14" xfId="59" applyNumberFormat="1" applyFont="1" applyBorder="1" applyAlignment="1">
      <alignment horizontal="center"/>
    </xf>
    <xf numFmtId="164" fontId="10" fillId="0" borderId="15" xfId="59" applyNumberFormat="1" applyFont="1" applyBorder="1" applyAlignment="1">
      <alignment horizontal="center"/>
    </xf>
    <xf numFmtId="164" fontId="10" fillId="0" borderId="13" xfId="58" applyNumberFormat="1" applyFont="1" applyBorder="1" applyAlignment="1">
      <alignment horizontal="center" wrapText="1"/>
      <protection/>
    </xf>
    <xf numFmtId="164" fontId="10" fillId="0" borderId="13" xfId="58" applyNumberFormat="1" applyFont="1" applyBorder="1" applyAlignment="1">
      <alignment horizontal="left" wrapText="1"/>
      <protection/>
    </xf>
    <xf numFmtId="165" fontId="10" fillId="0" borderId="0" xfId="59" applyFont="1" applyBorder="1" applyAlignment="1">
      <alignment horizontal="left" wrapText="1"/>
    </xf>
    <xf numFmtId="165" fontId="10" fillId="0" borderId="15" xfId="59" applyFont="1" applyBorder="1" applyAlignment="1">
      <alignment horizontal="left" wrapText="1"/>
    </xf>
    <xf numFmtId="164" fontId="10" fillId="0" borderId="14" xfId="58" applyNumberFormat="1" applyFont="1" applyBorder="1" applyAlignment="1">
      <alignment horizontal="center"/>
      <protection/>
    </xf>
    <xf numFmtId="164" fontId="10" fillId="0" borderId="15" xfId="58" applyNumberFormat="1" applyFont="1" applyBorder="1" applyAlignment="1">
      <alignment horizontal="center"/>
      <protection/>
    </xf>
    <xf numFmtId="164" fontId="10" fillId="34" borderId="15" xfId="58" applyNumberFormat="1" applyFont="1" applyFill="1" applyBorder="1" applyAlignment="1">
      <alignment horizontal="center"/>
      <protection/>
    </xf>
    <xf numFmtId="164" fontId="10" fillId="0" borderId="0" xfId="58" applyNumberFormat="1" applyFont="1" applyFill="1" applyBorder="1">
      <alignment/>
      <protection/>
    </xf>
    <xf numFmtId="164" fontId="12" fillId="33" borderId="0" xfId="58" applyNumberFormat="1" applyFont="1" applyFill="1" applyBorder="1" applyAlignment="1">
      <alignment horizontal="left" wrapText="1"/>
      <protection/>
    </xf>
    <xf numFmtId="164" fontId="12" fillId="33" borderId="14" xfId="59" applyNumberFormat="1" applyFont="1" applyFill="1" applyBorder="1" applyAlignment="1">
      <alignment horizontal="center"/>
    </xf>
    <xf numFmtId="164" fontId="10" fillId="33" borderId="15" xfId="59" applyNumberFormat="1" applyFont="1" applyFill="1" applyBorder="1" applyAlignment="1">
      <alignment horizontal="center"/>
    </xf>
    <xf numFmtId="164" fontId="20" fillId="0" borderId="13" xfId="58" applyNumberFormat="1" applyFont="1" applyBorder="1" applyAlignment="1">
      <alignment horizontal="center"/>
      <protection/>
    </xf>
    <xf numFmtId="165" fontId="10" fillId="0" borderId="0" xfId="59" applyFont="1" applyBorder="1" applyAlignment="1">
      <alignment horizontal="left"/>
    </xf>
    <xf numFmtId="164" fontId="10" fillId="0" borderId="13" xfId="58" applyNumberFormat="1" applyFont="1" applyBorder="1" applyAlignment="1">
      <alignment horizontal="left"/>
      <protection/>
    </xf>
    <xf numFmtId="164" fontId="10" fillId="0" borderId="0" xfId="58" applyNumberFormat="1" applyFont="1" applyBorder="1" applyAlignment="1">
      <alignment/>
      <protection/>
    </xf>
    <xf numFmtId="165" fontId="10" fillId="0" borderId="15" xfId="59" applyFont="1" applyBorder="1" applyAlignment="1">
      <alignment horizontal="left"/>
    </xf>
    <xf numFmtId="165" fontId="8" fillId="0" borderId="19" xfId="59" applyFont="1" applyBorder="1">
      <alignment/>
    </xf>
    <xf numFmtId="164" fontId="10" fillId="0" borderId="19" xfId="58" applyNumberFormat="1" applyFont="1" applyBorder="1" applyAlignment="1">
      <alignment/>
      <protection/>
    </xf>
    <xf numFmtId="164" fontId="10" fillId="0" borderId="20" xfId="58" applyNumberFormat="1" applyFont="1" applyBorder="1" applyAlignment="1">
      <alignment horizontal="center"/>
      <protection/>
    </xf>
    <xf numFmtId="164" fontId="10" fillId="34" borderId="20" xfId="58" applyNumberFormat="1" applyFont="1" applyFill="1" applyBorder="1" applyAlignment="1">
      <alignment horizontal="center"/>
      <protection/>
    </xf>
    <xf numFmtId="164" fontId="10" fillId="0" borderId="0" xfId="58" applyNumberFormat="1" applyFont="1" applyBorder="1" applyAlignment="1">
      <alignment horizontal="center"/>
      <protection/>
    </xf>
    <xf numFmtId="164" fontId="6" fillId="33" borderId="19" xfId="58" applyNumberFormat="1" applyFont="1" applyFill="1" applyBorder="1" applyAlignment="1">
      <alignment horizontal="center"/>
      <protection/>
    </xf>
    <xf numFmtId="164" fontId="6" fillId="34" borderId="31" xfId="58" applyNumberFormat="1" applyFont="1" applyFill="1" applyBorder="1" applyAlignment="1">
      <alignment horizontal="center"/>
      <protection/>
    </xf>
    <xf numFmtId="43" fontId="10" fillId="0" borderId="10" xfId="58" applyNumberFormat="1" applyFont="1" applyBorder="1" applyAlignment="1">
      <alignment horizontal="right"/>
      <protection/>
    </xf>
    <xf numFmtId="164" fontId="10" fillId="33" borderId="0" xfId="58" applyNumberFormat="1" applyFont="1" applyFill="1" applyBorder="1" applyAlignment="1">
      <alignment horizontal="left"/>
      <protection/>
    </xf>
    <xf numFmtId="164" fontId="10" fillId="34" borderId="32" xfId="58" applyNumberFormat="1" applyFont="1" applyFill="1" applyBorder="1" applyAlignment="1">
      <alignment horizontal="left"/>
      <protection/>
    </xf>
    <xf numFmtId="165" fontId="15" fillId="0" borderId="15" xfId="59" applyFont="1" applyBorder="1" applyAlignment="1">
      <alignment horizontal="center"/>
    </xf>
    <xf numFmtId="41" fontId="10" fillId="0" borderId="13" xfId="58" applyNumberFormat="1" applyFont="1" applyBorder="1" applyAlignment="1">
      <alignment horizontal="right"/>
      <protection/>
    </xf>
    <xf numFmtId="41" fontId="10" fillId="33" borderId="14" xfId="58" applyNumberFormat="1" applyFont="1" applyFill="1" applyBorder="1" applyAlignment="1">
      <alignment horizontal="right"/>
      <protection/>
    </xf>
    <xf numFmtId="41" fontId="10" fillId="34" borderId="33" xfId="58" applyNumberFormat="1" applyFont="1" applyFill="1" applyBorder="1" applyAlignment="1">
      <alignment horizontal="right"/>
      <protection/>
    </xf>
    <xf numFmtId="165" fontId="0" fillId="0" borderId="15" xfId="59" applyFont="1" applyBorder="1" applyAlignment="1">
      <alignment horizontal="center"/>
    </xf>
    <xf numFmtId="0" fontId="10" fillId="0" borderId="13" xfId="58" applyNumberFormat="1" applyFont="1" applyBorder="1" applyAlignment="1">
      <alignment horizontal="right"/>
      <protection/>
    </xf>
    <xf numFmtId="164" fontId="13" fillId="0" borderId="19" xfId="58" applyNumberFormat="1" applyFont="1" applyBorder="1" applyAlignment="1">
      <alignment horizontal="center"/>
      <protection/>
    </xf>
    <xf numFmtId="164" fontId="10" fillId="33" borderId="19" xfId="58" applyNumberFormat="1" applyFont="1" applyFill="1" applyBorder="1">
      <alignment/>
      <protection/>
    </xf>
    <xf numFmtId="164" fontId="10" fillId="34" borderId="19" xfId="58" applyNumberFormat="1" applyFont="1" applyFill="1" applyBorder="1">
      <alignment/>
      <protection/>
    </xf>
    <xf numFmtId="164" fontId="13" fillId="0" borderId="0" xfId="58" applyNumberFormat="1" applyFont="1" applyBorder="1" applyAlignment="1">
      <alignment horizontal="center"/>
      <protection/>
    </xf>
    <xf numFmtId="164" fontId="9" fillId="0" borderId="0" xfId="58" applyNumberFormat="1" applyFont="1" applyBorder="1">
      <alignment/>
      <protection/>
    </xf>
    <xf numFmtId="164" fontId="10" fillId="0" borderId="0" xfId="58" applyNumberFormat="1" applyFont="1" applyBorder="1" applyAlignment="1">
      <alignment horizontal="left"/>
      <protection/>
    </xf>
    <xf numFmtId="164" fontId="1" fillId="0" borderId="20" xfId="59" applyNumberFormat="1" applyFont="1" applyFill="1" applyBorder="1" applyAlignment="1">
      <alignment horizontal="center"/>
    </xf>
    <xf numFmtId="164" fontId="1" fillId="0" borderId="21" xfId="59" applyNumberFormat="1" applyFont="1" applyFill="1" applyBorder="1" applyAlignment="1">
      <alignment horizontal="center"/>
    </xf>
    <xf numFmtId="164" fontId="1" fillId="0" borderId="20" xfId="59" applyNumberFormat="1" applyFont="1" applyBorder="1" applyAlignment="1">
      <alignment horizontal="center"/>
    </xf>
    <xf numFmtId="164" fontId="1" fillId="0" borderId="22" xfId="59" applyNumberFormat="1" applyFont="1" applyBorder="1" applyAlignment="1">
      <alignment horizontal="center"/>
    </xf>
    <xf numFmtId="164" fontId="1" fillId="34" borderId="22" xfId="59" applyNumberFormat="1" applyFont="1" applyFill="1" applyBorder="1" applyAlignment="1">
      <alignment horizontal="center"/>
    </xf>
    <xf numFmtId="165" fontId="21" fillId="0" borderId="34" xfId="59" applyFont="1" applyBorder="1">
      <alignment/>
    </xf>
    <xf numFmtId="165" fontId="8" fillId="0" borderId="35" xfId="59" applyFont="1" applyBorder="1">
      <alignment/>
    </xf>
    <xf numFmtId="165" fontId="8" fillId="0" borderId="36" xfId="59" applyFont="1" applyBorder="1">
      <alignment/>
    </xf>
    <xf numFmtId="164" fontId="4" fillId="0" borderId="37" xfId="59" applyNumberFormat="1" applyFont="1" applyFill="1" applyBorder="1">
      <alignment/>
    </xf>
    <xf numFmtId="164" fontId="4" fillId="0" borderId="38" xfId="59" applyNumberFormat="1" applyFont="1" applyFill="1" applyBorder="1">
      <alignment/>
    </xf>
    <xf numFmtId="164" fontId="4" fillId="0" borderId="14" xfId="59" applyNumberFormat="1" applyFont="1" applyBorder="1" applyAlignment="1">
      <alignment horizontal="center"/>
    </xf>
    <xf numFmtId="164" fontId="4" fillId="0" borderId="0" xfId="59" applyNumberFormat="1" applyFont="1" applyBorder="1" applyAlignment="1">
      <alignment horizontal="center"/>
    </xf>
    <xf numFmtId="43" fontId="4" fillId="0" borderId="15" xfId="59" applyNumberFormat="1" applyFont="1" applyBorder="1">
      <alignment/>
    </xf>
    <xf numFmtId="43" fontId="4" fillId="34" borderId="15" xfId="59" applyNumberFormat="1" applyFont="1" applyFill="1" applyBorder="1">
      <alignment/>
    </xf>
    <xf numFmtId="165" fontId="0" fillId="0" borderId="39" xfId="59" applyFont="1" applyBorder="1" applyAlignment="1">
      <alignment horizontal="left"/>
    </xf>
    <xf numFmtId="41" fontId="0" fillId="0" borderId="40" xfId="59" applyNumberFormat="1" applyFont="1" applyBorder="1">
      <alignment/>
    </xf>
    <xf numFmtId="164" fontId="4" fillId="0" borderId="41" xfId="59" applyNumberFormat="1" applyFont="1" applyFill="1" applyBorder="1">
      <alignment/>
    </xf>
    <xf numFmtId="164" fontId="4" fillId="0" borderId="42" xfId="59" applyNumberFormat="1" applyFont="1" applyFill="1" applyBorder="1">
      <alignment/>
    </xf>
    <xf numFmtId="164" fontId="4" fillId="0" borderId="14" xfId="59" applyNumberFormat="1" applyFont="1" applyBorder="1" applyAlignment="1">
      <alignment horizontal="right"/>
    </xf>
    <xf numFmtId="164" fontId="4" fillId="0" borderId="0" xfId="59" applyNumberFormat="1" applyFont="1" applyBorder="1" applyAlignment="1">
      <alignment horizontal="right"/>
    </xf>
    <xf numFmtId="166" fontId="4" fillId="0" borderId="15" xfId="59" applyNumberFormat="1" applyFont="1" applyFill="1" applyBorder="1">
      <alignment/>
    </xf>
    <xf numFmtId="166" fontId="4" fillId="34" borderId="15" xfId="59" applyNumberFormat="1" applyFont="1" applyFill="1" applyBorder="1">
      <alignment/>
    </xf>
    <xf numFmtId="41" fontId="8" fillId="0" borderId="0" xfId="59" applyNumberFormat="1" applyFont="1" applyBorder="1">
      <alignment/>
    </xf>
    <xf numFmtId="164" fontId="4" fillId="0" borderId="14" xfId="59" applyNumberFormat="1" applyFont="1" applyBorder="1">
      <alignment/>
    </xf>
    <xf numFmtId="166" fontId="4" fillId="0" borderId="15" xfId="59" applyNumberFormat="1" applyFont="1" applyBorder="1">
      <alignment/>
    </xf>
    <xf numFmtId="9" fontId="0" fillId="0" borderId="40" xfId="59" applyNumberFormat="1" applyFont="1" applyBorder="1">
      <alignment/>
    </xf>
    <xf numFmtId="165" fontId="0" fillId="0" borderId="40" xfId="59" applyFont="1" applyBorder="1">
      <alignment/>
    </xf>
    <xf numFmtId="164" fontId="22" fillId="0" borderId="12" xfId="59" applyNumberFormat="1" applyFont="1" applyFill="1" applyBorder="1">
      <alignment/>
    </xf>
    <xf numFmtId="164" fontId="22" fillId="0" borderId="27" xfId="59" applyNumberFormat="1" applyFont="1" applyFill="1" applyBorder="1">
      <alignment/>
    </xf>
    <xf numFmtId="165" fontId="0" fillId="0" borderId="38" xfId="59" applyFont="1" applyBorder="1" applyAlignment="1">
      <alignment horizontal="left"/>
    </xf>
    <xf numFmtId="165" fontId="8" fillId="0" borderId="43" xfId="59" applyFont="1" applyBorder="1">
      <alignment/>
    </xf>
    <xf numFmtId="41" fontId="0" fillId="0" borderId="44" xfId="59" applyNumberFormat="1" applyFont="1" applyBorder="1">
      <alignment/>
    </xf>
    <xf numFmtId="164" fontId="22" fillId="0" borderId="18" xfId="59" applyNumberFormat="1" applyFont="1" applyFill="1" applyBorder="1">
      <alignment/>
    </xf>
    <xf numFmtId="164" fontId="22" fillId="0" borderId="45" xfId="59" applyNumberFormat="1" applyFont="1" applyFill="1" applyBorder="1">
      <alignment/>
    </xf>
    <xf numFmtId="166" fontId="4" fillId="0" borderId="28" xfId="59" applyNumberFormat="1" applyFont="1" applyBorder="1">
      <alignment/>
    </xf>
    <xf numFmtId="166" fontId="4" fillId="34" borderId="28" xfId="59" applyNumberFormat="1" applyFont="1" applyFill="1" applyBorder="1">
      <alignment/>
    </xf>
    <xf numFmtId="167" fontId="0" fillId="0" borderId="40" xfId="59" applyNumberFormat="1" applyFont="1" applyBorder="1">
      <alignment/>
    </xf>
    <xf numFmtId="164" fontId="1" fillId="0" borderId="14" xfId="59" applyNumberFormat="1" applyFont="1" applyBorder="1" applyAlignment="1">
      <alignment horizontal="center"/>
    </xf>
    <xf numFmtId="164" fontId="1" fillId="0" borderId="0" xfId="59" applyNumberFormat="1" applyFont="1" applyBorder="1" applyAlignment="1">
      <alignment horizontal="center"/>
    </xf>
    <xf numFmtId="166" fontId="4" fillId="0" borderId="46" xfId="59" applyNumberFormat="1" applyFont="1" applyBorder="1">
      <alignment/>
    </xf>
    <xf numFmtId="166" fontId="4" fillId="34" borderId="46" xfId="59" applyNumberFormat="1" applyFont="1" applyFill="1" applyBorder="1">
      <alignment/>
    </xf>
    <xf numFmtId="164" fontId="7" fillId="0" borderId="12" xfId="59" applyNumberFormat="1" applyFont="1" applyFill="1" applyBorder="1">
      <alignment/>
    </xf>
    <xf numFmtId="164" fontId="4" fillId="0" borderId="27" xfId="59" applyNumberFormat="1" applyFont="1" applyBorder="1">
      <alignment/>
    </xf>
    <xf numFmtId="0" fontId="0" fillId="0" borderId="0" xfId="0" applyFont="1" applyAlignment="1">
      <alignment horizontal="center"/>
    </xf>
    <xf numFmtId="164" fontId="4" fillId="0" borderId="41" xfId="59" applyNumberFormat="1" applyFont="1" applyBorder="1">
      <alignment/>
    </xf>
    <xf numFmtId="164" fontId="4" fillId="0" borderId="42" xfId="59" applyNumberFormat="1" applyFont="1" applyBorder="1">
      <alignment/>
    </xf>
    <xf numFmtId="164" fontId="23" fillId="0" borderId="14" xfId="59" applyNumberFormat="1" applyFont="1" applyBorder="1" applyAlignment="1">
      <alignment horizontal="center"/>
    </xf>
    <xf numFmtId="164" fontId="23" fillId="0" borderId="0" xfId="59" applyNumberFormat="1" applyFont="1" applyBorder="1" applyAlignment="1">
      <alignment horizontal="center"/>
    </xf>
    <xf numFmtId="165" fontId="0" fillId="0" borderId="44" xfId="59" applyFont="1" applyBorder="1">
      <alignment/>
    </xf>
    <xf numFmtId="37" fontId="24" fillId="0" borderId="0" xfId="59" applyNumberFormat="1" applyFont="1" applyBorder="1">
      <alignment/>
    </xf>
    <xf numFmtId="164" fontId="4" fillId="0" borderId="47" xfId="59" applyNumberFormat="1" applyFont="1" applyBorder="1">
      <alignment/>
    </xf>
    <xf numFmtId="164" fontId="4" fillId="0" borderId="48" xfId="59" applyNumberFormat="1" applyFont="1" applyBorder="1">
      <alignment/>
    </xf>
    <xf numFmtId="164" fontId="1" fillId="0" borderId="18" xfId="59" applyNumberFormat="1" applyFont="1" applyBorder="1" applyAlignment="1">
      <alignment horizontal="center"/>
    </xf>
    <xf numFmtId="164" fontId="1" fillId="0" borderId="45" xfId="59" applyNumberFormat="1" applyFont="1" applyBorder="1" applyAlignment="1">
      <alignment horizontal="center"/>
    </xf>
    <xf numFmtId="166" fontId="4" fillId="0" borderId="17" xfId="59" applyNumberFormat="1" applyFont="1" applyBorder="1">
      <alignment/>
    </xf>
    <xf numFmtId="166" fontId="4" fillId="34" borderId="17" xfId="59" applyNumberFormat="1" applyFont="1" applyFill="1" applyBorder="1">
      <alignment/>
    </xf>
    <xf numFmtId="37" fontId="0" fillId="0" borderId="0" xfId="59" applyNumberFormat="1" applyFont="1" applyBorder="1">
      <alignment/>
    </xf>
    <xf numFmtId="164" fontId="25" fillId="0" borderId="0" xfId="58" applyNumberFormat="1" applyFont="1" applyBorder="1" applyAlignment="1">
      <alignment/>
      <protection/>
    </xf>
    <xf numFmtId="164" fontId="4" fillId="35" borderId="12" xfId="58" applyNumberFormat="1" applyFont="1" applyFill="1" applyBorder="1" applyAlignment="1">
      <alignment/>
      <protection/>
    </xf>
    <xf numFmtId="164" fontId="4" fillId="35" borderId="27" xfId="58" applyNumberFormat="1" applyFont="1" applyFill="1" applyBorder="1" applyAlignment="1">
      <alignment/>
      <protection/>
    </xf>
    <xf numFmtId="164" fontId="4" fillId="35" borderId="11" xfId="58" applyNumberFormat="1" applyFont="1" applyFill="1" applyBorder="1" applyAlignment="1">
      <alignment/>
      <protection/>
    </xf>
    <xf numFmtId="165" fontId="8" fillId="35" borderId="11" xfId="59" applyFont="1" applyFill="1" applyBorder="1">
      <alignment/>
    </xf>
    <xf numFmtId="164" fontId="10" fillId="0" borderId="14" xfId="59" applyNumberFormat="1" applyFont="1" applyBorder="1" applyAlignment="1">
      <alignment horizontal="left"/>
    </xf>
    <xf numFmtId="43" fontId="4" fillId="35" borderId="0" xfId="58" applyNumberFormat="1" applyFont="1" applyFill="1" applyBorder="1" applyAlignment="1">
      <alignment/>
      <protection/>
    </xf>
    <xf numFmtId="164" fontId="10" fillId="0" borderId="0" xfId="59" applyNumberFormat="1" applyFont="1" applyBorder="1" applyAlignment="1">
      <alignment horizontal="left"/>
    </xf>
    <xf numFmtId="43" fontId="4" fillId="36" borderId="15" xfId="58" applyNumberFormat="1" applyFont="1" applyFill="1" applyBorder="1" applyAlignment="1">
      <alignment/>
      <protection/>
    </xf>
    <xf numFmtId="164" fontId="4" fillId="35" borderId="0" xfId="58" applyNumberFormat="1" applyFont="1" applyFill="1" applyBorder="1" applyAlignment="1">
      <alignment/>
      <protection/>
    </xf>
    <xf numFmtId="165" fontId="4" fillId="0" borderId="0" xfId="59" applyFont="1">
      <alignment/>
    </xf>
    <xf numFmtId="9" fontId="4" fillId="36" borderId="15" xfId="58" applyNumberFormat="1" applyFont="1" applyFill="1" applyBorder="1" applyAlignment="1">
      <alignment/>
      <protection/>
    </xf>
    <xf numFmtId="9" fontId="4" fillId="35" borderId="0" xfId="58" applyNumberFormat="1" applyFont="1" applyFill="1" applyBorder="1" applyAlignment="1">
      <alignment/>
      <protection/>
    </xf>
    <xf numFmtId="164" fontId="10" fillId="0" borderId="14" xfId="58" applyNumberFormat="1" applyFont="1" applyBorder="1" applyAlignment="1">
      <alignment/>
      <protection/>
    </xf>
    <xf numFmtId="41" fontId="4" fillId="36" borderId="15" xfId="58" applyNumberFormat="1" applyFont="1" applyFill="1" applyBorder="1" applyAlignment="1">
      <alignment/>
      <protection/>
    </xf>
    <xf numFmtId="10" fontId="4" fillId="36" borderId="15" xfId="48" applyNumberFormat="1" applyFont="1" applyFill="1" applyBorder="1" applyAlignment="1">
      <alignment/>
      <protection/>
    </xf>
    <xf numFmtId="9" fontId="4" fillId="35" borderId="15" xfId="58" applyNumberFormat="1" applyFont="1" applyFill="1" applyBorder="1" applyAlignment="1">
      <alignment/>
      <protection/>
    </xf>
    <xf numFmtId="164" fontId="4" fillId="35" borderId="15" xfId="58" applyNumberFormat="1" applyFont="1" applyFill="1" applyBorder="1" applyAlignment="1">
      <alignment/>
      <protection/>
    </xf>
    <xf numFmtId="168" fontId="4" fillId="35" borderId="0" xfId="58" applyNumberFormat="1" applyFont="1" applyFill="1" applyBorder="1" applyAlignment="1">
      <alignment/>
      <protection/>
    </xf>
    <xf numFmtId="43" fontId="4" fillId="35" borderId="15" xfId="58" applyNumberFormat="1" applyFont="1" applyFill="1" applyBorder="1" applyAlignment="1">
      <alignment/>
      <protection/>
    </xf>
    <xf numFmtId="164" fontId="10" fillId="0" borderId="39" xfId="58" applyNumberFormat="1" applyFont="1" applyBorder="1" applyAlignment="1">
      <alignment/>
      <protection/>
    </xf>
    <xf numFmtId="164" fontId="10" fillId="0" borderId="0" xfId="59" applyNumberFormat="1" applyFont="1" applyBorder="1" applyAlignment="1">
      <alignment/>
    </xf>
    <xf numFmtId="164" fontId="10" fillId="0" borderId="0" xfId="59" applyNumberFormat="1" applyFont="1" applyBorder="1" applyAlignment="1">
      <alignment horizontal="center"/>
    </xf>
    <xf numFmtId="165" fontId="8" fillId="0" borderId="0" xfId="59" applyNumberFormat="1" applyFont="1">
      <alignment/>
    </xf>
    <xf numFmtId="165" fontId="10" fillId="0" borderId="49" xfId="59" applyNumberFormat="1" applyFont="1" applyBorder="1">
      <alignment/>
    </xf>
    <xf numFmtId="165" fontId="10" fillId="0" borderId="45" xfId="59" applyNumberFormat="1" applyFont="1" applyBorder="1">
      <alignment/>
    </xf>
    <xf numFmtId="165" fontId="27" fillId="0" borderId="0" xfId="59" applyNumberFormat="1" applyFont="1">
      <alignment/>
    </xf>
    <xf numFmtId="49" fontId="27" fillId="0" borderId="0" xfId="59" applyNumberFormat="1" applyFont="1">
      <alignment/>
    </xf>
    <xf numFmtId="165" fontId="0" fillId="0" borderId="0" xfId="59" applyNumberFormat="1" applyFont="1">
      <alignment/>
    </xf>
    <xf numFmtId="165" fontId="16" fillId="0" borderId="0" xfId="59" applyNumberFormat="1" applyFont="1" applyAlignment="1">
      <alignment horizontal="center"/>
    </xf>
    <xf numFmtId="165" fontId="16" fillId="34" borderId="0" xfId="59" applyNumberFormat="1" applyFont="1" applyFill="1" applyAlignment="1">
      <alignment horizontal="center"/>
    </xf>
    <xf numFmtId="165" fontId="28" fillId="0" borderId="0" xfId="59" applyNumberFormat="1" applyFont="1">
      <alignment/>
    </xf>
    <xf numFmtId="165" fontId="0" fillId="34" borderId="0" xfId="59" applyNumberFormat="1" applyFont="1" applyFill="1">
      <alignment/>
    </xf>
    <xf numFmtId="165" fontId="29" fillId="0" borderId="0" xfId="59" applyNumberFormat="1" applyFont="1" applyAlignment="1">
      <alignment horizontal="right"/>
    </xf>
    <xf numFmtId="165" fontId="0" fillId="0" borderId="0" xfId="59" applyNumberFormat="1" applyFont="1" applyBorder="1">
      <alignment/>
    </xf>
    <xf numFmtId="165" fontId="0" fillId="0" borderId="50" xfId="59" applyNumberFormat="1" applyFont="1" applyBorder="1">
      <alignment/>
    </xf>
    <xf numFmtId="165" fontId="0" fillId="34" borderId="50" xfId="59" applyNumberFormat="1" applyFont="1" applyFill="1" applyBorder="1">
      <alignment/>
    </xf>
    <xf numFmtId="165" fontId="30" fillId="0" borderId="0" xfId="59" applyNumberFormat="1" applyFont="1">
      <alignment/>
    </xf>
    <xf numFmtId="165" fontId="0" fillId="0" borderId="51" xfId="59" applyNumberFormat="1" applyFont="1" applyBorder="1">
      <alignment/>
    </xf>
    <xf numFmtId="165" fontId="0" fillId="34" borderId="51" xfId="59" applyNumberFormat="1" applyFont="1" applyFill="1" applyBorder="1">
      <alignment/>
    </xf>
    <xf numFmtId="165" fontId="10" fillId="0" borderId="0" xfId="59" applyNumberFormat="1" applyFont="1">
      <alignment/>
    </xf>
    <xf numFmtId="164" fontId="10" fillId="0" borderId="14" xfId="58" applyNumberFormat="1" applyFont="1" applyBorder="1" applyAlignment="1">
      <alignment horizontal="left"/>
      <protection/>
    </xf>
    <xf numFmtId="1" fontId="1" fillId="0" borderId="0" xfId="60" applyNumberFormat="1" applyFont="1" applyAlignment="1">
      <alignment horizontal="left"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33" fillId="0" borderId="0" xfId="60" applyNumberFormat="1" applyFont="1" applyAlignment="1">
      <alignment horizontal="left"/>
      <protection/>
    </xf>
    <xf numFmtId="1" fontId="12" fillId="0" borderId="0" xfId="60" applyNumberFormat="1" applyFont="1" applyAlignment="1">
      <alignment horizontal="left"/>
      <protection/>
    </xf>
    <xf numFmtId="1" fontId="12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60" applyNumberFormat="1" applyFont="1" applyAlignment="1">
      <alignment horizontal="left"/>
      <protection/>
    </xf>
    <xf numFmtId="44" fontId="4" fillId="0" borderId="0" xfId="44" applyNumberFormat="1" applyFont="1" applyAlignment="1">
      <alignment/>
    </xf>
    <xf numFmtId="44" fontId="1" fillId="0" borderId="0" xfId="44" applyNumberFormat="1" applyFont="1" applyAlignment="1">
      <alignment/>
    </xf>
    <xf numFmtId="9" fontId="4" fillId="0" borderId="0" xfId="63" applyFont="1" applyAlignment="1">
      <alignment/>
    </xf>
    <xf numFmtId="1" fontId="4" fillId="0" borderId="50" xfId="0" applyNumberFormat="1" applyFont="1" applyBorder="1" applyAlignment="1">
      <alignment/>
    </xf>
    <xf numFmtId="1" fontId="1" fillId="0" borderId="50" xfId="0" applyNumberFormat="1" applyFont="1" applyBorder="1" applyAlignment="1">
      <alignment/>
    </xf>
    <xf numFmtId="1" fontId="34" fillId="0" borderId="0" xfId="60" applyNumberFormat="1" applyFont="1" applyAlignment="1">
      <alignment horizontal="left"/>
      <protection/>
    </xf>
    <xf numFmtId="1" fontId="33" fillId="0" borderId="0" xfId="60" applyNumberFormat="1" applyFont="1" applyFill="1" applyAlignment="1">
      <alignment horizontal="left"/>
      <protection/>
    </xf>
    <xf numFmtId="1" fontId="4" fillId="0" borderId="51" xfId="0" applyNumberFormat="1" applyFont="1" applyBorder="1" applyAlignment="1">
      <alignment/>
    </xf>
    <xf numFmtId="1" fontId="1" fillId="0" borderId="51" xfId="0" applyNumberFormat="1" applyFont="1" applyBorder="1" applyAlignment="1">
      <alignment/>
    </xf>
    <xf numFmtId="1" fontId="4" fillId="37" borderId="0" xfId="60" applyNumberFormat="1" applyFont="1" applyFill="1" applyAlignment="1">
      <alignment horizontal="left"/>
      <protection/>
    </xf>
    <xf numFmtId="1" fontId="33" fillId="37" borderId="0" xfId="60" applyNumberFormat="1" applyFont="1" applyFill="1" applyAlignment="1">
      <alignment horizontal="left"/>
      <protection/>
    </xf>
    <xf numFmtId="1" fontId="4" fillId="0" borderId="0" xfId="60" applyNumberFormat="1" applyFont="1" applyFill="1" applyAlignment="1">
      <alignment horizontal="left"/>
      <protection/>
    </xf>
    <xf numFmtId="164" fontId="6" fillId="0" borderId="10" xfId="59" applyNumberFormat="1" applyFont="1" applyBorder="1">
      <alignment/>
    </xf>
    <xf numFmtId="164" fontId="35" fillId="0" borderId="0" xfId="59" applyNumberFormat="1" applyFont="1" applyBorder="1">
      <alignment/>
    </xf>
    <xf numFmtId="164" fontId="6" fillId="0" borderId="11" xfId="59" applyNumberFormat="1" applyFont="1" applyBorder="1">
      <alignment/>
    </xf>
    <xf numFmtId="164" fontId="10" fillId="0" borderId="11" xfId="59" applyNumberFormat="1" applyFont="1" applyBorder="1">
      <alignment/>
    </xf>
    <xf numFmtId="164" fontId="6" fillId="0" borderId="13" xfId="59" applyNumberFormat="1" applyFont="1" applyBorder="1" applyAlignment="1">
      <alignment horizontal="left"/>
    </xf>
    <xf numFmtId="15" fontId="10" fillId="0" borderId="0" xfId="59" applyNumberFormat="1" applyFont="1" applyBorder="1">
      <alignment/>
    </xf>
    <xf numFmtId="15" fontId="6" fillId="0" borderId="15" xfId="59" applyNumberFormat="1" applyFont="1" applyBorder="1" applyAlignment="1">
      <alignment horizontal="left"/>
    </xf>
    <xf numFmtId="164" fontId="35" fillId="0" borderId="16" xfId="59" applyNumberFormat="1" applyFont="1" applyBorder="1">
      <alignment/>
    </xf>
    <xf numFmtId="164" fontId="10" fillId="0" borderId="16" xfId="59" applyNumberFormat="1" applyFont="1" applyBorder="1">
      <alignment/>
    </xf>
    <xf numFmtId="164" fontId="5" fillId="0" borderId="17" xfId="59" applyNumberFormat="1" applyFont="1" applyBorder="1">
      <alignment/>
    </xf>
    <xf numFmtId="164" fontId="10" fillId="0" borderId="18" xfId="59" applyNumberFormat="1" applyFont="1" applyBorder="1">
      <alignment/>
    </xf>
    <xf numFmtId="164" fontId="10" fillId="0" borderId="17" xfId="59" applyNumberFormat="1" applyFont="1" applyBorder="1">
      <alignment/>
    </xf>
    <xf numFmtId="165" fontId="10" fillId="0" borderId="0" xfId="59" applyFont="1">
      <alignment/>
    </xf>
    <xf numFmtId="165" fontId="10" fillId="0" borderId="0" xfId="59" applyFont="1" applyBorder="1">
      <alignment/>
    </xf>
    <xf numFmtId="164" fontId="6" fillId="0" borderId="19" xfId="59" applyNumberFormat="1" applyFont="1" applyBorder="1" applyAlignment="1">
      <alignment horizontal="center"/>
    </xf>
    <xf numFmtId="164" fontId="6" fillId="0" borderId="20" xfId="59" applyNumberFormat="1" applyFont="1" applyBorder="1" applyAlignment="1">
      <alignment horizontal="left"/>
    </xf>
    <xf numFmtId="164" fontId="6" fillId="0" borderId="21" xfId="59" applyNumberFormat="1" applyFont="1" applyBorder="1" applyAlignment="1">
      <alignment horizontal="center"/>
    </xf>
    <xf numFmtId="165" fontId="13" fillId="0" borderId="21" xfId="59" applyFont="1" applyBorder="1">
      <alignment/>
    </xf>
    <xf numFmtId="165" fontId="10" fillId="0" borderId="27" xfId="59" applyFont="1" applyBorder="1">
      <alignment/>
    </xf>
    <xf numFmtId="165" fontId="6" fillId="0" borderId="22" xfId="59" applyFont="1" applyBorder="1" applyAlignment="1">
      <alignment horizontal="center"/>
    </xf>
    <xf numFmtId="164" fontId="6" fillId="0" borderId="10" xfId="59" applyNumberFormat="1" applyFont="1" applyBorder="1" applyAlignment="1">
      <alignment horizontal="center"/>
    </xf>
    <xf numFmtId="164" fontId="6" fillId="0" borderId="28" xfId="59" applyNumberFormat="1" applyFont="1" applyBorder="1" applyAlignment="1">
      <alignment horizontal="center"/>
    </xf>
    <xf numFmtId="164" fontId="35" fillId="0" borderId="28" xfId="59" applyNumberFormat="1" applyFont="1" applyBorder="1" applyAlignment="1">
      <alignment horizontal="center"/>
    </xf>
    <xf numFmtId="165" fontId="6" fillId="0" borderId="21" xfId="59" applyFont="1" applyBorder="1" applyAlignment="1">
      <alignment horizontal="center"/>
    </xf>
    <xf numFmtId="0" fontId="36" fillId="0" borderId="0" xfId="0" applyFont="1" applyAlignment="1">
      <alignment/>
    </xf>
    <xf numFmtId="164" fontId="10" fillId="0" borderId="13" xfId="59" applyNumberFormat="1" applyFont="1" applyBorder="1" applyAlignment="1">
      <alignment horizontal="left"/>
    </xf>
    <xf numFmtId="164" fontId="10" fillId="0" borderId="15" xfId="59" applyNumberFormat="1" applyFont="1" applyBorder="1" applyAlignment="1">
      <alignment horizontal="right"/>
    </xf>
    <xf numFmtId="164" fontId="35" fillId="0" borderId="15" xfId="59" applyNumberFormat="1" applyFont="1" applyBorder="1" applyAlignment="1">
      <alignment horizontal="center"/>
    </xf>
    <xf numFmtId="164" fontId="6" fillId="0" borderId="15" xfId="59" applyNumberFormat="1" applyFont="1" applyBorder="1" applyAlignment="1">
      <alignment horizontal="center"/>
    </xf>
    <xf numFmtId="164" fontId="10" fillId="33" borderId="13" xfId="59" applyNumberFormat="1" applyFont="1" applyFill="1" applyBorder="1" applyAlignment="1">
      <alignment horizontal="center"/>
    </xf>
    <xf numFmtId="164" fontId="13" fillId="0" borderId="13" xfId="59" applyNumberFormat="1" applyFont="1" applyFill="1" applyBorder="1" applyAlignment="1">
      <alignment horizontal="center"/>
    </xf>
    <xf numFmtId="165" fontId="10" fillId="0" borderId="27" xfId="59" applyFont="1" applyBorder="1" applyAlignment="1">
      <alignment horizontal="left"/>
    </xf>
    <xf numFmtId="165" fontId="10" fillId="0" borderId="11" xfId="59" applyFont="1" applyBorder="1" applyAlignment="1">
      <alignment horizontal="left"/>
    </xf>
    <xf numFmtId="164" fontId="10" fillId="0" borderId="15" xfId="59" applyNumberFormat="1" applyFont="1" applyBorder="1">
      <alignment/>
    </xf>
    <xf numFmtId="164" fontId="13" fillId="0" borderId="15" xfId="59" applyNumberFormat="1" applyFont="1" applyBorder="1" applyAlignment="1">
      <alignment horizontal="left"/>
    </xf>
    <xf numFmtId="164" fontId="13" fillId="0" borderId="15" xfId="59" applyNumberFormat="1" applyFont="1" applyBorder="1">
      <alignment/>
    </xf>
    <xf numFmtId="164" fontId="37" fillId="0" borderId="15" xfId="59" applyNumberFormat="1" applyFont="1" applyBorder="1">
      <alignment/>
    </xf>
    <xf numFmtId="164" fontId="13" fillId="0" borderId="17" xfId="59" applyNumberFormat="1" applyFont="1" applyBorder="1">
      <alignment/>
    </xf>
    <xf numFmtId="165" fontId="10" fillId="0" borderId="0" xfId="59" applyFont="1" applyBorder="1" applyAlignment="1">
      <alignment horizontal="center"/>
    </xf>
    <xf numFmtId="165" fontId="10" fillId="0" borderId="15" xfId="59" applyFont="1" applyBorder="1" applyAlignment="1">
      <alignment horizontal="center"/>
    </xf>
    <xf numFmtId="164" fontId="13" fillId="0" borderId="16" xfId="59" applyNumberFormat="1" applyFont="1" applyBorder="1" applyAlignment="1">
      <alignment horizontal="center" textRotation="255"/>
    </xf>
    <xf numFmtId="41" fontId="10" fillId="0" borderId="16" xfId="58" applyNumberFormat="1" applyFont="1" applyBorder="1">
      <alignment/>
      <protection/>
    </xf>
    <xf numFmtId="41" fontId="13" fillId="0" borderId="16" xfId="58" applyNumberFormat="1" applyFont="1" applyBorder="1">
      <alignment/>
      <protection/>
    </xf>
    <xf numFmtId="164" fontId="10" fillId="33" borderId="19" xfId="59" applyNumberFormat="1" applyFont="1" applyFill="1" applyBorder="1" applyAlignment="1">
      <alignment horizontal="center"/>
    </xf>
    <xf numFmtId="164" fontId="13" fillId="0" borderId="19" xfId="59" applyNumberFormat="1" applyFont="1" applyFill="1" applyBorder="1" applyAlignment="1">
      <alignment horizontal="center"/>
    </xf>
    <xf numFmtId="164" fontId="10" fillId="33" borderId="20" xfId="59" applyNumberFormat="1" applyFont="1" applyFill="1" applyBorder="1" applyAlignment="1">
      <alignment horizontal="center"/>
    </xf>
    <xf numFmtId="165" fontId="10" fillId="0" borderId="20" xfId="59" applyFont="1" applyBorder="1" applyAlignment="1">
      <alignment horizontal="center"/>
    </xf>
    <xf numFmtId="165" fontId="10" fillId="0" borderId="21" xfId="59" applyFont="1" applyBorder="1" applyAlignment="1">
      <alignment horizontal="center"/>
    </xf>
    <xf numFmtId="165" fontId="10" fillId="0" borderId="22" xfId="59" applyFont="1" applyBorder="1" applyAlignment="1">
      <alignment horizontal="center"/>
    </xf>
    <xf numFmtId="165" fontId="6" fillId="0" borderId="0" xfId="59" applyFont="1" applyBorder="1" applyAlignment="1">
      <alignment horizontal="center"/>
    </xf>
    <xf numFmtId="165" fontId="10" fillId="0" borderId="27" xfId="59" applyFont="1" applyBorder="1" applyAlignment="1">
      <alignment horizontal="center"/>
    </xf>
    <xf numFmtId="165" fontId="10" fillId="0" borderId="11" xfId="59" applyFont="1" applyBorder="1" applyAlignment="1">
      <alignment horizontal="center"/>
    </xf>
    <xf numFmtId="165" fontId="10" fillId="0" borderId="19" xfId="59" applyFont="1" applyBorder="1">
      <alignment/>
    </xf>
    <xf numFmtId="165" fontId="6" fillId="0" borderId="15" xfId="59" applyFont="1" applyBorder="1" applyAlignment="1">
      <alignment horizontal="center"/>
    </xf>
    <xf numFmtId="164" fontId="6" fillId="0" borderId="20" xfId="59" applyNumberFormat="1" applyFont="1" applyFill="1" applyBorder="1" applyAlignment="1">
      <alignment horizontal="center"/>
    </xf>
    <xf numFmtId="164" fontId="6" fillId="0" borderId="21" xfId="59" applyNumberFormat="1" applyFont="1" applyFill="1" applyBorder="1" applyAlignment="1">
      <alignment horizontal="center"/>
    </xf>
    <xf numFmtId="164" fontId="6" fillId="0" borderId="20" xfId="59" applyNumberFormat="1" applyFont="1" applyBorder="1" applyAlignment="1">
      <alignment horizontal="center"/>
    </xf>
    <xf numFmtId="164" fontId="6" fillId="0" borderId="22" xfId="59" applyNumberFormat="1" applyFont="1" applyBorder="1" applyAlignment="1">
      <alignment horizontal="center"/>
    </xf>
    <xf numFmtId="165" fontId="38" fillId="0" borderId="34" xfId="59" applyFont="1" applyBorder="1">
      <alignment/>
    </xf>
    <xf numFmtId="165" fontId="10" fillId="0" borderId="35" xfId="59" applyFont="1" applyBorder="1">
      <alignment/>
    </xf>
    <xf numFmtId="165" fontId="10" fillId="0" borderId="36" xfId="59" applyFont="1" applyBorder="1">
      <alignment/>
    </xf>
    <xf numFmtId="164" fontId="10" fillId="0" borderId="37" xfId="59" applyNumberFormat="1" applyFont="1" applyFill="1" applyBorder="1">
      <alignment/>
    </xf>
    <xf numFmtId="164" fontId="10" fillId="0" borderId="38" xfId="59" applyNumberFormat="1" applyFont="1" applyFill="1" applyBorder="1">
      <alignment/>
    </xf>
    <xf numFmtId="43" fontId="10" fillId="0" borderId="15" xfId="59" applyNumberFormat="1" applyFont="1" applyBorder="1">
      <alignment/>
    </xf>
    <xf numFmtId="165" fontId="10" fillId="0" borderId="39" xfId="59" applyFont="1" applyBorder="1" applyAlignment="1">
      <alignment horizontal="left"/>
    </xf>
    <xf numFmtId="41" fontId="10" fillId="0" borderId="40" xfId="59" applyNumberFormat="1" applyFont="1" applyBorder="1">
      <alignment/>
    </xf>
    <xf numFmtId="164" fontId="10" fillId="0" borderId="41" xfId="59" applyNumberFormat="1" applyFont="1" applyFill="1" applyBorder="1">
      <alignment/>
    </xf>
    <xf numFmtId="164" fontId="10" fillId="0" borderId="42" xfId="59" applyNumberFormat="1" applyFont="1" applyFill="1" applyBorder="1">
      <alignment/>
    </xf>
    <xf numFmtId="164" fontId="10" fillId="0" borderId="0" xfId="59" applyNumberFormat="1" applyFont="1" applyBorder="1" applyAlignment="1">
      <alignment horizontal="right"/>
    </xf>
    <xf numFmtId="166" fontId="10" fillId="0" borderId="15" xfId="59" applyNumberFormat="1" applyFont="1" applyFill="1" applyBorder="1">
      <alignment/>
    </xf>
    <xf numFmtId="166" fontId="10" fillId="0" borderId="15" xfId="59" applyNumberFormat="1" applyFont="1" applyBorder="1">
      <alignment/>
    </xf>
    <xf numFmtId="9" fontId="10" fillId="0" borderId="40" xfId="59" applyNumberFormat="1" applyFont="1" applyBorder="1">
      <alignment/>
    </xf>
    <xf numFmtId="165" fontId="10" fillId="0" borderId="40" xfId="59" applyFont="1" applyBorder="1">
      <alignment/>
    </xf>
    <xf numFmtId="165" fontId="10" fillId="0" borderId="38" xfId="59" applyFont="1" applyBorder="1" applyAlignment="1">
      <alignment horizontal="left"/>
    </xf>
    <xf numFmtId="165" fontId="10" fillId="0" borderId="43" xfId="59" applyFont="1" applyBorder="1">
      <alignment/>
    </xf>
    <xf numFmtId="41" fontId="10" fillId="0" borderId="44" xfId="59" applyNumberFormat="1" applyFont="1" applyBorder="1">
      <alignment/>
    </xf>
    <xf numFmtId="166" fontId="10" fillId="0" borderId="28" xfId="59" applyNumberFormat="1" applyFont="1" applyBorder="1">
      <alignment/>
    </xf>
    <xf numFmtId="167" fontId="10" fillId="0" borderId="40" xfId="59" applyNumberFormat="1" applyFont="1" applyBorder="1">
      <alignment/>
    </xf>
    <xf numFmtId="164" fontId="10" fillId="0" borderId="14" xfId="59" applyNumberFormat="1" applyFont="1" applyBorder="1">
      <alignment/>
    </xf>
    <xf numFmtId="164" fontId="6" fillId="0" borderId="0" xfId="59" applyNumberFormat="1" applyFont="1" applyBorder="1" applyAlignment="1">
      <alignment horizontal="center"/>
    </xf>
    <xf numFmtId="166" fontId="10" fillId="0" borderId="46" xfId="59" applyNumberFormat="1" applyFont="1" applyBorder="1">
      <alignment/>
    </xf>
    <xf numFmtId="164" fontId="5" fillId="0" borderId="12" xfId="59" applyNumberFormat="1" applyFont="1" applyFill="1" applyBorder="1">
      <alignment/>
    </xf>
    <xf numFmtId="164" fontId="10" fillId="0" borderId="27" xfId="59" applyNumberFormat="1" applyFont="1" applyBorder="1">
      <alignment/>
    </xf>
    <xf numFmtId="0" fontId="10" fillId="0" borderId="0" xfId="0" applyFont="1" applyAlignment="1">
      <alignment horizontal="center"/>
    </xf>
    <xf numFmtId="164" fontId="10" fillId="0" borderId="41" xfId="59" applyNumberFormat="1" applyFont="1" applyBorder="1">
      <alignment/>
    </xf>
    <xf numFmtId="164" fontId="10" fillId="0" borderId="42" xfId="59" applyNumberFormat="1" applyFont="1" applyBorder="1">
      <alignment/>
    </xf>
    <xf numFmtId="164" fontId="22" fillId="0" borderId="0" xfId="59" applyNumberFormat="1" applyFont="1" applyBorder="1" applyAlignment="1">
      <alignment horizontal="center"/>
    </xf>
    <xf numFmtId="165" fontId="10" fillId="0" borderId="44" xfId="59" applyFont="1" applyBorder="1">
      <alignment/>
    </xf>
    <xf numFmtId="37" fontId="22" fillId="0" borderId="0" xfId="59" applyNumberFormat="1" applyFont="1" applyBorder="1">
      <alignment/>
    </xf>
    <xf numFmtId="164" fontId="10" fillId="0" borderId="47" xfId="59" applyNumberFormat="1" applyFont="1" applyBorder="1">
      <alignment/>
    </xf>
    <xf numFmtId="164" fontId="10" fillId="0" borderId="48" xfId="59" applyNumberFormat="1" applyFont="1" applyBorder="1">
      <alignment/>
    </xf>
    <xf numFmtId="164" fontId="6" fillId="0" borderId="45" xfId="59" applyNumberFormat="1" applyFont="1" applyBorder="1" applyAlignment="1">
      <alignment horizontal="center"/>
    </xf>
    <xf numFmtId="166" fontId="10" fillId="0" borderId="17" xfId="59" applyNumberFormat="1" applyFont="1" applyBorder="1">
      <alignment/>
    </xf>
    <xf numFmtId="37" fontId="10" fillId="0" borderId="0" xfId="59" applyNumberFormat="1" applyFont="1" applyBorder="1">
      <alignment/>
    </xf>
    <xf numFmtId="164" fontId="9" fillId="0" borderId="0" xfId="58" applyNumberFormat="1" applyFont="1" applyBorder="1" applyAlignment="1">
      <alignment/>
      <protection/>
    </xf>
    <xf numFmtId="165" fontId="9" fillId="0" borderId="0" xfId="59" applyNumberFormat="1" applyFont="1">
      <alignment/>
    </xf>
    <xf numFmtId="49" fontId="9" fillId="0" borderId="0" xfId="59" applyNumberFormat="1" applyFont="1">
      <alignment/>
    </xf>
    <xf numFmtId="165" fontId="6" fillId="0" borderId="0" xfId="59" applyNumberFormat="1" applyFont="1" applyAlignment="1">
      <alignment horizontal="center"/>
    </xf>
    <xf numFmtId="165" fontId="6" fillId="34" borderId="0" xfId="59" applyNumberFormat="1" applyFont="1" applyFill="1" applyAlignment="1">
      <alignment horizontal="center"/>
    </xf>
    <xf numFmtId="165" fontId="39" fillId="0" borderId="0" xfId="59" applyNumberFormat="1" applyFont="1">
      <alignment/>
    </xf>
    <xf numFmtId="165" fontId="10" fillId="34" borderId="0" xfId="59" applyNumberFormat="1" applyFont="1" applyFill="1">
      <alignment/>
    </xf>
    <xf numFmtId="165" fontId="12" fillId="0" borderId="0" xfId="59" applyNumberFormat="1" applyFont="1" applyAlignment="1">
      <alignment horizontal="right"/>
    </xf>
    <xf numFmtId="165" fontId="10" fillId="0" borderId="0" xfId="59" applyNumberFormat="1" applyFont="1" applyBorder="1">
      <alignment/>
    </xf>
    <xf numFmtId="165" fontId="10" fillId="0" borderId="50" xfId="59" applyNumberFormat="1" applyFont="1" applyBorder="1">
      <alignment/>
    </xf>
    <xf numFmtId="165" fontId="10" fillId="34" borderId="50" xfId="59" applyNumberFormat="1" applyFont="1" applyFill="1" applyBorder="1">
      <alignment/>
    </xf>
    <xf numFmtId="165" fontId="10" fillId="0" borderId="51" xfId="59" applyNumberFormat="1" applyFont="1" applyBorder="1">
      <alignment/>
    </xf>
    <xf numFmtId="165" fontId="10" fillId="34" borderId="51" xfId="59" applyNumberFormat="1" applyFont="1" applyFill="1" applyBorder="1">
      <alignment/>
    </xf>
    <xf numFmtId="164" fontId="10" fillId="0" borderId="12" xfId="59" applyNumberFormat="1" applyFont="1" applyBorder="1">
      <alignment/>
    </xf>
    <xf numFmtId="164" fontId="10" fillId="0" borderId="14" xfId="59" applyNumberFormat="1" applyFont="1" applyBorder="1" applyAlignment="1">
      <alignment horizontal="right"/>
    </xf>
    <xf numFmtId="164" fontId="22" fillId="0" borderId="14" xfId="59" applyNumberFormat="1" applyFont="1" applyBorder="1" applyAlignment="1">
      <alignment horizontal="center"/>
    </xf>
    <xf numFmtId="164" fontId="6" fillId="0" borderId="18" xfId="59" applyNumberFormat="1" applyFont="1" applyBorder="1" applyAlignment="1">
      <alignment horizontal="center"/>
    </xf>
    <xf numFmtId="164" fontId="10" fillId="0" borderId="15" xfId="59" applyNumberFormat="1" applyFont="1" applyBorder="1" applyAlignment="1">
      <alignment horizontal="left"/>
    </xf>
    <xf numFmtId="165" fontId="1" fillId="0" borderId="21" xfId="59" applyFont="1" applyBorder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12" fillId="0" borderId="0" xfId="60" applyNumberFormat="1" applyFont="1" applyAlignment="1">
      <alignment/>
      <protection/>
    </xf>
    <xf numFmtId="1" fontId="12" fillId="0" borderId="0" xfId="0" applyNumberFormat="1" applyFont="1" applyAlignment="1">
      <alignment/>
    </xf>
    <xf numFmtId="1" fontId="12" fillId="0" borderId="0" xfId="0" applyNumberFormat="1" applyFont="1" applyBorder="1" applyAlignment="1">
      <alignment/>
    </xf>
    <xf numFmtId="43" fontId="4" fillId="35" borderId="15" xfId="58" applyNumberFormat="1" applyFont="1" applyFill="1" applyBorder="1" applyAlignment="1">
      <alignment horizontal="right"/>
      <protection/>
    </xf>
    <xf numFmtId="165" fontId="4" fillId="35" borderId="0" xfId="59" applyNumberFormat="1" applyFont="1" applyFill="1" applyBorder="1">
      <alignment/>
    </xf>
    <xf numFmtId="164" fontId="4" fillId="36" borderId="14" xfId="58" applyNumberFormat="1" applyFont="1" applyFill="1" applyBorder="1" applyAlignment="1">
      <alignment/>
      <protection/>
    </xf>
    <xf numFmtId="165" fontId="8" fillId="36" borderId="0" xfId="59" applyFont="1" applyFill="1" applyBorder="1">
      <alignment/>
    </xf>
    <xf numFmtId="165" fontId="8" fillId="36" borderId="15" xfId="59" applyFont="1" applyFill="1" applyBorder="1">
      <alignment/>
    </xf>
    <xf numFmtId="164" fontId="10" fillId="0" borderId="12" xfId="59" applyNumberFormat="1" applyFont="1" applyBorder="1" applyAlignment="1">
      <alignment horizontal="left"/>
    </xf>
    <xf numFmtId="43" fontId="4" fillId="36" borderId="27" xfId="58" applyNumberFormat="1" applyFont="1" applyFill="1" applyBorder="1" applyAlignment="1">
      <alignment/>
      <protection/>
    </xf>
    <xf numFmtId="164" fontId="10" fillId="0" borderId="27" xfId="59" applyNumberFormat="1" applyFont="1" applyBorder="1" applyAlignment="1">
      <alignment horizontal="left"/>
    </xf>
    <xf numFmtId="43" fontId="4" fillId="36" borderId="11" xfId="58" applyNumberFormat="1" applyFont="1" applyFill="1" applyBorder="1" applyAlignment="1">
      <alignment/>
      <protection/>
    </xf>
    <xf numFmtId="165" fontId="10" fillId="0" borderId="14" xfId="59" applyNumberFormat="1" applyFont="1" applyBorder="1">
      <alignment/>
    </xf>
    <xf numFmtId="165" fontId="4" fillId="35" borderId="15" xfId="59" applyNumberFormat="1" applyFont="1" applyFill="1" applyBorder="1">
      <alignment/>
    </xf>
    <xf numFmtId="165" fontId="10" fillId="0" borderId="18" xfId="59" applyNumberFormat="1" applyFont="1" applyBorder="1">
      <alignment/>
    </xf>
    <xf numFmtId="165" fontId="4" fillId="35" borderId="17" xfId="59" applyNumberFormat="1" applyFont="1" applyFill="1" applyBorder="1">
      <alignment/>
    </xf>
    <xf numFmtId="168" fontId="4" fillId="35" borderId="45" xfId="63" applyNumberFormat="1" applyFont="1" applyFill="1" applyBorder="1" applyAlignment="1">
      <alignment/>
    </xf>
    <xf numFmtId="168" fontId="10" fillId="0" borderId="13" xfId="59" applyNumberFormat="1" applyFont="1" applyBorder="1">
      <alignment/>
    </xf>
    <xf numFmtId="0" fontId="10" fillId="0" borderId="14" xfId="59" applyNumberFormat="1" applyFont="1" applyBorder="1">
      <alignment/>
    </xf>
    <xf numFmtId="1" fontId="10" fillId="0" borderId="13" xfId="58" applyNumberFormat="1" applyFont="1" applyBorder="1" applyAlignment="1">
      <alignment horizontal="center"/>
      <protection/>
    </xf>
    <xf numFmtId="165" fontId="12" fillId="0" borderId="0" xfId="59" applyFont="1" applyBorder="1" applyAlignment="1">
      <alignment horizontal="left" wrapText="1"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64" fontId="12" fillId="0" borderId="26" xfId="58" applyNumberFormat="1" applyFont="1" applyFill="1" applyBorder="1" applyAlignment="1">
      <alignment horizontal="left" wrapText="1"/>
      <protection/>
    </xf>
    <xf numFmtId="164" fontId="12" fillId="0" borderId="26" xfId="59" applyNumberFormat="1" applyFont="1" applyFill="1" applyBorder="1" applyAlignment="1">
      <alignment horizontal="center"/>
    </xf>
    <xf numFmtId="164" fontId="10" fillId="0" borderId="46" xfId="59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14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" fontId="12" fillId="38" borderId="0" xfId="60" applyNumberFormat="1" applyFont="1" applyFill="1" applyAlignment="1">
      <alignment horizontal="left"/>
      <protection/>
    </xf>
    <xf numFmtId="1" fontId="12" fillId="38" borderId="0" xfId="0" applyNumberFormat="1" applyFont="1" applyFill="1" applyBorder="1" applyAlignment="1">
      <alignment/>
    </xf>
    <xf numFmtId="1" fontId="4" fillId="38" borderId="0" xfId="0" applyNumberFormat="1" applyFont="1" applyFill="1" applyAlignment="1">
      <alignment/>
    </xf>
    <xf numFmtId="165" fontId="6" fillId="0" borderId="27" xfId="59" applyFont="1" applyBorder="1" applyAlignment="1">
      <alignment horizontal="center"/>
    </xf>
    <xf numFmtId="165" fontId="6" fillId="0" borderId="11" xfId="59" applyFont="1" applyBorder="1" applyAlignment="1">
      <alignment horizontal="center"/>
    </xf>
    <xf numFmtId="164" fontId="13" fillId="0" borderId="15" xfId="59" applyNumberFormat="1" applyFont="1" applyBorder="1" applyAlignment="1">
      <alignment horizontal="right"/>
    </xf>
    <xf numFmtId="165" fontId="10" fillId="0" borderId="0" xfId="0" applyNumberFormat="1" applyFont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0" xfId="0" applyNumberFormat="1" applyFont="1" applyAlignment="1">
      <alignment/>
    </xf>
    <xf numFmtId="164" fontId="10" fillId="35" borderId="12" xfId="58" applyNumberFormat="1" applyFont="1" applyFill="1" applyBorder="1" applyAlignment="1">
      <alignment/>
      <protection/>
    </xf>
    <xf numFmtId="164" fontId="10" fillId="35" borderId="27" xfId="58" applyNumberFormat="1" applyFont="1" applyFill="1" applyBorder="1" applyAlignment="1">
      <alignment/>
      <protection/>
    </xf>
    <xf numFmtId="164" fontId="10" fillId="35" borderId="11" xfId="58" applyNumberFormat="1" applyFont="1" applyFill="1" applyBorder="1" applyAlignment="1">
      <alignment/>
      <protection/>
    </xf>
    <xf numFmtId="165" fontId="10" fillId="35" borderId="11" xfId="59" applyFont="1" applyFill="1" applyBorder="1">
      <alignment/>
    </xf>
    <xf numFmtId="164" fontId="10" fillId="36" borderId="18" xfId="58" applyNumberFormat="1" applyFont="1" applyFill="1" applyBorder="1" applyAlignment="1">
      <alignment/>
      <protection/>
    </xf>
    <xf numFmtId="165" fontId="10" fillId="36" borderId="45" xfId="59" applyFont="1" applyFill="1" applyBorder="1">
      <alignment/>
    </xf>
    <xf numFmtId="165" fontId="10" fillId="36" borderId="17" xfId="59" applyFont="1" applyFill="1" applyBorder="1">
      <alignment/>
    </xf>
    <xf numFmtId="43" fontId="10" fillId="36" borderId="0" xfId="58" applyNumberFormat="1" applyFont="1" applyFill="1" applyBorder="1" applyAlignment="1">
      <alignment/>
      <protection/>
    </xf>
    <xf numFmtId="43" fontId="10" fillId="36" borderId="15" xfId="58" applyNumberFormat="1" applyFont="1" applyFill="1" applyBorder="1" applyAlignment="1">
      <alignment/>
      <protection/>
    </xf>
    <xf numFmtId="164" fontId="10" fillId="35" borderId="0" xfId="58" applyNumberFormat="1" applyFont="1" applyFill="1" applyBorder="1" applyAlignment="1">
      <alignment/>
      <protection/>
    </xf>
    <xf numFmtId="43" fontId="10" fillId="35" borderId="0" xfId="58" applyNumberFormat="1" applyFont="1" applyFill="1" applyBorder="1" applyAlignment="1">
      <alignment/>
      <protection/>
    </xf>
    <xf numFmtId="9" fontId="10" fillId="36" borderId="15" xfId="58" applyNumberFormat="1" applyFont="1" applyFill="1" applyBorder="1" applyAlignment="1">
      <alignment/>
      <protection/>
    </xf>
    <xf numFmtId="9" fontId="10" fillId="35" borderId="0" xfId="58" applyNumberFormat="1" applyFont="1" applyFill="1" applyBorder="1" applyAlignment="1">
      <alignment/>
      <protection/>
    </xf>
    <xf numFmtId="41" fontId="10" fillId="36" borderId="15" xfId="58" applyNumberFormat="1" applyFont="1" applyFill="1" applyBorder="1" applyAlignment="1">
      <alignment/>
      <protection/>
    </xf>
    <xf numFmtId="10" fontId="10" fillId="36" borderId="15" xfId="48" applyNumberFormat="1" applyFont="1" applyFill="1" applyBorder="1" applyAlignment="1">
      <alignment/>
      <protection/>
    </xf>
    <xf numFmtId="9" fontId="10" fillId="35" borderId="15" xfId="58" applyNumberFormat="1" applyFont="1" applyFill="1" applyBorder="1" applyAlignment="1">
      <alignment/>
      <protection/>
    </xf>
    <xf numFmtId="164" fontId="10" fillId="35" borderId="15" xfId="58" applyNumberFormat="1" applyFont="1" applyFill="1" applyBorder="1" applyAlignment="1">
      <alignment/>
      <protection/>
    </xf>
    <xf numFmtId="168" fontId="10" fillId="35" borderId="0" xfId="58" applyNumberFormat="1" applyFont="1" applyFill="1" applyBorder="1" applyAlignment="1">
      <alignment/>
      <protection/>
    </xf>
    <xf numFmtId="43" fontId="10" fillId="35" borderId="15" xfId="58" applyNumberFormat="1" applyFont="1" applyFill="1" applyBorder="1" applyAlignment="1">
      <alignment/>
      <protection/>
    </xf>
    <xf numFmtId="164" fontId="10" fillId="35" borderId="40" xfId="58" applyNumberFormat="1" applyFont="1" applyFill="1" applyBorder="1" applyAlignment="1">
      <alignment/>
      <protection/>
    </xf>
    <xf numFmtId="9" fontId="10" fillId="35" borderId="40" xfId="58" applyNumberFormat="1" applyFont="1" applyFill="1" applyBorder="1" applyAlignment="1">
      <alignment/>
      <protection/>
    </xf>
    <xf numFmtId="43" fontId="10" fillId="35" borderId="40" xfId="58" applyNumberFormat="1" applyFont="1" applyFill="1" applyBorder="1" applyAlignment="1">
      <alignment horizontal="right"/>
      <protection/>
    </xf>
    <xf numFmtId="165" fontId="10" fillId="0" borderId="40" xfId="59" applyNumberFormat="1" applyFont="1" applyBorder="1">
      <alignment/>
    </xf>
    <xf numFmtId="165" fontId="10" fillId="35" borderId="45" xfId="59" applyNumberFormat="1" applyFont="1" applyFill="1" applyBorder="1">
      <alignment/>
    </xf>
    <xf numFmtId="165" fontId="10" fillId="35" borderId="52" xfId="59" applyNumberFormat="1" applyFont="1" applyFill="1" applyBorder="1">
      <alignment/>
    </xf>
    <xf numFmtId="164" fontId="13" fillId="0" borderId="22" xfId="59" applyNumberFormat="1" applyFont="1" applyFill="1" applyBorder="1" applyAlignment="1">
      <alignment horizontal="center"/>
    </xf>
    <xf numFmtId="164" fontId="6" fillId="33" borderId="53" xfId="59" applyNumberFormat="1" applyFont="1" applyFill="1" applyBorder="1" applyAlignment="1">
      <alignment horizontal="center"/>
    </xf>
    <xf numFmtId="165" fontId="35" fillId="0" borderId="53" xfId="59" applyFont="1" applyBorder="1" applyAlignment="1">
      <alignment horizontal="center"/>
    </xf>
    <xf numFmtId="165" fontId="35" fillId="0" borderId="13" xfId="59" applyFont="1" applyBorder="1" applyAlignment="1">
      <alignment horizontal="center"/>
    </xf>
    <xf numFmtId="164" fontId="13" fillId="0" borderId="16" xfId="59" applyNumberFormat="1" applyFont="1" applyFill="1" applyBorder="1" applyAlignment="1">
      <alignment horizontal="center"/>
    </xf>
    <xf numFmtId="164" fontId="6" fillId="0" borderId="14" xfId="59" applyNumberFormat="1" applyFont="1" applyBorder="1" applyAlignment="1">
      <alignment horizontal="left"/>
    </xf>
    <xf numFmtId="164" fontId="22" fillId="0" borderId="14" xfId="59" applyNumberFormat="1" applyFont="1" applyBorder="1" applyAlignment="1">
      <alignment horizontal="left"/>
    </xf>
    <xf numFmtId="164" fontId="6" fillId="0" borderId="18" xfId="59" applyNumberFormat="1" applyFont="1" applyBorder="1" applyAlignment="1">
      <alignment horizontal="left"/>
    </xf>
    <xf numFmtId="165" fontId="6" fillId="0" borderId="0" xfId="59" applyFont="1" applyBorder="1" applyAlignment="1">
      <alignment horizontal="left"/>
    </xf>
    <xf numFmtId="164" fontId="10" fillId="39" borderId="13" xfId="59" applyNumberFormat="1" applyFont="1" applyFill="1" applyBorder="1">
      <alignment/>
    </xf>
    <xf numFmtId="164" fontId="10" fillId="39" borderId="15" xfId="59" applyNumberFormat="1" applyFont="1" applyFill="1" applyBorder="1">
      <alignment/>
    </xf>
    <xf numFmtId="164" fontId="37" fillId="39" borderId="15" xfId="59" applyNumberFormat="1" applyFont="1" applyFill="1" applyBorder="1">
      <alignment/>
    </xf>
    <xf numFmtId="164" fontId="13" fillId="39" borderId="15" xfId="59" applyNumberFormat="1" applyFont="1" applyFill="1" applyBorder="1">
      <alignment/>
    </xf>
    <xf numFmtId="164" fontId="10" fillId="39" borderId="13" xfId="59" applyNumberFormat="1" applyFont="1" applyFill="1" applyBorder="1" applyAlignment="1">
      <alignment horizontal="center"/>
    </xf>
    <xf numFmtId="164" fontId="13" fillId="39" borderId="13" xfId="59" applyNumberFormat="1" applyFont="1" applyFill="1" applyBorder="1" applyAlignment="1">
      <alignment horizontal="center"/>
    </xf>
    <xf numFmtId="165" fontId="10" fillId="39" borderId="0" xfId="59" applyFont="1" applyFill="1" applyBorder="1" applyAlignment="1">
      <alignment horizontal="left"/>
    </xf>
    <xf numFmtId="165" fontId="10" fillId="39" borderId="15" xfId="59" applyFont="1" applyFill="1" applyBorder="1" applyAlignment="1">
      <alignment horizontal="left"/>
    </xf>
    <xf numFmtId="165" fontId="10" fillId="39" borderId="0" xfId="59" applyFont="1" applyFill="1">
      <alignment/>
    </xf>
    <xf numFmtId="0" fontId="36" fillId="39" borderId="0" xfId="0" applyFont="1" applyFill="1" applyAlignment="1">
      <alignment/>
    </xf>
    <xf numFmtId="164" fontId="10" fillId="39" borderId="13" xfId="59" applyNumberFormat="1" applyFont="1" applyFill="1" applyBorder="1" applyAlignment="1">
      <alignment horizontal="left"/>
    </xf>
    <xf numFmtId="164" fontId="10" fillId="39" borderId="15" xfId="59" applyNumberFormat="1" applyFont="1" applyFill="1" applyBorder="1" applyAlignment="1">
      <alignment horizontal="right"/>
    </xf>
    <xf numFmtId="164" fontId="13" fillId="39" borderId="15" xfId="59" applyNumberFormat="1" applyFont="1" applyFill="1" applyBorder="1" applyAlignment="1">
      <alignment horizontal="right"/>
    </xf>
    <xf numFmtId="164" fontId="6" fillId="39" borderId="15" xfId="59" applyNumberFormat="1" applyFont="1" applyFill="1" applyBorder="1" applyAlignment="1">
      <alignment horizontal="center"/>
    </xf>
    <xf numFmtId="164" fontId="35" fillId="39" borderId="15" xfId="59" applyNumberFormat="1" applyFont="1" applyFill="1" applyBorder="1" applyAlignment="1">
      <alignment horizontal="center"/>
    </xf>
    <xf numFmtId="165" fontId="10" fillId="39" borderId="27" xfId="59" applyFont="1" applyFill="1" applyBorder="1" applyAlignment="1">
      <alignment horizontal="left"/>
    </xf>
    <xf numFmtId="165" fontId="10" fillId="39" borderId="11" xfId="59" applyFont="1" applyFill="1" applyBorder="1" applyAlignment="1">
      <alignment horizontal="left"/>
    </xf>
    <xf numFmtId="164" fontId="13" fillId="39" borderId="15" xfId="59" applyNumberFormat="1" applyFont="1" applyFill="1" applyBorder="1" applyAlignment="1">
      <alignment horizontal="left"/>
    </xf>
    <xf numFmtId="164" fontId="6" fillId="0" borderId="10" xfId="59" applyNumberFormat="1" applyFont="1" applyFill="1" applyBorder="1" applyAlignment="1">
      <alignment horizontal="center"/>
    </xf>
    <xf numFmtId="164" fontId="6" fillId="0" borderId="28" xfId="59" applyNumberFormat="1" applyFont="1" applyFill="1" applyBorder="1" applyAlignment="1">
      <alignment horizontal="center"/>
    </xf>
    <xf numFmtId="164" fontId="35" fillId="0" borderId="28" xfId="59" applyNumberFormat="1" applyFont="1" applyFill="1" applyBorder="1" applyAlignment="1">
      <alignment horizontal="center"/>
    </xf>
    <xf numFmtId="164" fontId="6" fillId="0" borderId="29" xfId="59" applyNumberFormat="1" applyFont="1" applyFill="1" applyBorder="1" applyAlignment="1">
      <alignment horizontal="center"/>
    </xf>
    <xf numFmtId="165" fontId="35" fillId="0" borderId="30" xfId="59" applyFont="1" applyFill="1" applyBorder="1" applyAlignment="1">
      <alignment horizontal="center"/>
    </xf>
    <xf numFmtId="165" fontId="6" fillId="0" borderId="21" xfId="59" applyFont="1" applyFill="1" applyBorder="1" applyAlignment="1">
      <alignment horizontal="center"/>
    </xf>
    <xf numFmtId="165" fontId="6" fillId="0" borderId="22" xfId="59" applyFont="1" applyFill="1" applyBorder="1" applyAlignment="1">
      <alignment horizontal="center"/>
    </xf>
    <xf numFmtId="165" fontId="10" fillId="0" borderId="0" xfId="59" applyFont="1" applyFill="1">
      <alignment/>
    </xf>
    <xf numFmtId="164" fontId="10" fillId="0" borderId="13" xfId="59" applyNumberFormat="1" applyFont="1" applyFill="1" applyBorder="1" applyAlignment="1">
      <alignment horizontal="center"/>
    </xf>
    <xf numFmtId="164" fontId="10" fillId="0" borderId="15" xfId="59" applyNumberFormat="1" applyFont="1" applyFill="1" applyBorder="1">
      <alignment/>
    </xf>
    <xf numFmtId="164" fontId="13" fillId="0" borderId="15" xfId="59" applyNumberFormat="1" applyFont="1" applyFill="1" applyBorder="1">
      <alignment/>
    </xf>
    <xf numFmtId="165" fontId="10" fillId="0" borderId="0" xfId="59" applyFont="1" applyFill="1" applyBorder="1" applyAlignment="1">
      <alignment horizontal="left"/>
    </xf>
    <xf numFmtId="165" fontId="10" fillId="0" borderId="15" xfId="59" applyFont="1" applyFill="1" applyBorder="1" applyAlignment="1">
      <alignment horizontal="left"/>
    </xf>
    <xf numFmtId="164" fontId="37" fillId="0" borderId="15" xfId="59" applyNumberFormat="1" applyFont="1" applyFill="1" applyBorder="1">
      <alignment/>
    </xf>
    <xf numFmtId="164" fontId="10" fillId="0" borderId="16" xfId="59" applyNumberFormat="1" applyFont="1" applyFill="1" applyBorder="1">
      <alignment/>
    </xf>
    <xf numFmtId="164" fontId="10" fillId="0" borderId="17" xfId="59" applyNumberFormat="1" applyFont="1" applyFill="1" applyBorder="1">
      <alignment/>
    </xf>
    <xf numFmtId="164" fontId="13" fillId="0" borderId="17" xfId="59" applyNumberFormat="1" applyFont="1" applyFill="1" applyBorder="1">
      <alignment/>
    </xf>
    <xf numFmtId="165" fontId="10" fillId="0" borderId="0" xfId="59" applyFont="1" applyFill="1" applyBorder="1" applyAlignment="1">
      <alignment horizontal="center"/>
    </xf>
    <xf numFmtId="165" fontId="10" fillId="0" borderId="15" xfId="59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eneva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andcosts" xfId="58"/>
    <cellStyle name="Normal_DANGEROUS" xfId="59"/>
    <cellStyle name="Normal_Showact200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zoomScale="125" zoomScaleNormal="125" zoomScaleSheetLayoutView="100" zoomScalePageLayoutView="0" workbookViewId="0" topLeftCell="A182">
      <selection activeCell="B206" sqref="B206"/>
    </sheetView>
  </sheetViews>
  <sheetFormatPr defaultColWidth="10.28125" defaultRowHeight="12" customHeight="1"/>
  <cols>
    <col min="1" max="1" width="11.8515625" style="317" customWidth="1"/>
    <col min="2" max="2" width="21.421875" style="317" customWidth="1"/>
    <col min="3" max="3" width="9.140625" style="317" customWidth="1"/>
    <col min="4" max="4" width="8.8515625" style="317" customWidth="1"/>
    <col min="5" max="5" width="9.421875" style="317" customWidth="1"/>
    <col min="6" max="6" width="13.00390625" style="317" customWidth="1"/>
    <col min="7" max="8" width="10.28125" style="317" customWidth="1"/>
    <col min="9" max="9" width="9.8515625" style="317" customWidth="1"/>
    <col min="10" max="11" width="9.140625" style="317" customWidth="1"/>
    <col min="12" max="12" width="13.421875" style="317" customWidth="1"/>
    <col min="13" max="13" width="9.8515625" style="317" customWidth="1"/>
    <col min="14" max="16384" width="10.28125" style="317" customWidth="1"/>
  </cols>
  <sheetData>
    <row r="1" spans="1:6" s="79" customFormat="1" ht="12" customHeight="1">
      <c r="A1" s="305" t="s">
        <v>0</v>
      </c>
      <c r="B1" s="306" t="s">
        <v>410</v>
      </c>
      <c r="C1" s="305"/>
      <c r="D1" s="307" t="s">
        <v>1</v>
      </c>
      <c r="E1" s="412"/>
      <c r="F1" s="308"/>
    </row>
    <row r="2" spans="1:6" s="79" customFormat="1" ht="12" customHeight="1">
      <c r="A2" s="309" t="s">
        <v>2</v>
      </c>
      <c r="B2" s="306" t="s">
        <v>411</v>
      </c>
      <c r="C2" s="8"/>
      <c r="D2" s="9" t="s">
        <v>3</v>
      </c>
      <c r="E2" s="310" t="s">
        <v>412</v>
      </c>
      <c r="F2" s="311"/>
    </row>
    <row r="3" spans="1:6" s="79" customFormat="1" ht="12" customHeight="1" thickBot="1">
      <c r="A3" s="309" t="s">
        <v>4</v>
      </c>
      <c r="B3" s="312"/>
      <c r="C3" s="313"/>
      <c r="D3" s="314"/>
      <c r="E3" s="315"/>
      <c r="F3" s="316"/>
    </row>
    <row r="4" ht="12" customHeight="1" thickBot="1">
      <c r="K4" s="318"/>
    </row>
    <row r="5" spans="1:11" ht="12" customHeight="1" thickBot="1">
      <c r="A5" s="19" t="s">
        <v>5</v>
      </c>
      <c r="B5" s="20" t="s">
        <v>6</v>
      </c>
      <c r="C5" s="21" t="s">
        <v>7</v>
      </c>
      <c r="D5" s="22"/>
      <c r="E5" s="22"/>
      <c r="F5" s="22"/>
      <c r="G5" s="23" t="s">
        <v>8</v>
      </c>
      <c r="H5" s="24" t="s">
        <v>10</v>
      </c>
      <c r="I5" s="25"/>
      <c r="J5" s="23" t="s">
        <v>8</v>
      </c>
      <c r="K5" s="26"/>
    </row>
    <row r="6" spans="1:11" ht="12" customHeight="1" thickBot="1">
      <c r="A6" s="27"/>
      <c r="B6" s="19" t="s">
        <v>11</v>
      </c>
      <c r="C6" s="28" t="s">
        <v>12</v>
      </c>
      <c r="D6" s="28" t="s">
        <v>13</v>
      </c>
      <c r="E6" s="28" t="s">
        <v>14</v>
      </c>
      <c r="F6" s="28" t="s">
        <v>15</v>
      </c>
      <c r="G6" s="29" t="s">
        <v>16</v>
      </c>
      <c r="H6" s="28" t="s">
        <v>17</v>
      </c>
      <c r="I6" s="31" t="s">
        <v>15</v>
      </c>
      <c r="J6" s="29" t="s">
        <v>18</v>
      </c>
      <c r="K6" s="32"/>
    </row>
    <row r="7" spans="1:11" ht="12" customHeight="1">
      <c r="A7" s="33" t="s">
        <v>19</v>
      </c>
      <c r="B7" s="33" t="s">
        <v>20</v>
      </c>
      <c r="C7" s="34">
        <f>$C$210</f>
        <v>8</v>
      </c>
      <c r="D7" s="34">
        <f aca="true" t="shared" si="0" ref="D7:D15">$C$207</f>
        <v>5</v>
      </c>
      <c r="E7" s="35">
        <f>$C$205</f>
        <v>500</v>
      </c>
      <c r="F7" s="35">
        <f aca="true" t="shared" si="1" ref="F7:G14">C7*E7</f>
        <v>4000</v>
      </c>
      <c r="G7" s="36">
        <f t="shared" si="1"/>
        <v>20000</v>
      </c>
      <c r="H7" s="35">
        <f>$C$205</f>
        <v>500</v>
      </c>
      <c r="I7" s="38">
        <f aca="true" t="shared" si="2" ref="I7:I15">C7*H7</f>
        <v>4000</v>
      </c>
      <c r="J7" s="39">
        <f>I7*$C$209</f>
        <v>16000</v>
      </c>
      <c r="K7" s="40"/>
    </row>
    <row r="8" spans="1:11" ht="12" customHeight="1">
      <c r="A8" s="41" t="s">
        <v>21</v>
      </c>
      <c r="B8" s="41" t="s">
        <v>22</v>
      </c>
      <c r="C8" s="42">
        <f>$F$217</f>
        <v>0</v>
      </c>
      <c r="D8" s="34">
        <f t="shared" si="0"/>
        <v>5</v>
      </c>
      <c r="E8" s="35">
        <f>$F$216</f>
        <v>60</v>
      </c>
      <c r="F8" s="35">
        <f t="shared" si="1"/>
        <v>0</v>
      </c>
      <c r="G8" s="36">
        <f t="shared" si="1"/>
        <v>0</v>
      </c>
      <c r="H8" s="35">
        <f>$F$216</f>
        <v>60</v>
      </c>
      <c r="I8" s="38">
        <f t="shared" si="2"/>
        <v>0</v>
      </c>
      <c r="J8" s="36">
        <f>$I$8*$C$209</f>
        <v>0</v>
      </c>
      <c r="K8" s="40"/>
    </row>
    <row r="9" spans="1:11" ht="12" customHeight="1">
      <c r="A9" s="41" t="s">
        <v>23</v>
      </c>
      <c r="B9" s="41" t="s">
        <v>24</v>
      </c>
      <c r="C9" s="42">
        <f>$F$218</f>
        <v>0</v>
      </c>
      <c r="D9" s="34">
        <f t="shared" si="0"/>
        <v>5</v>
      </c>
      <c r="E9" s="35">
        <f>$C$199</f>
        <v>37</v>
      </c>
      <c r="F9" s="35">
        <f t="shared" si="1"/>
        <v>0</v>
      </c>
      <c r="G9" s="36">
        <f t="shared" si="1"/>
        <v>0</v>
      </c>
      <c r="H9" s="35">
        <f>$C$199</f>
        <v>37</v>
      </c>
      <c r="I9" s="38">
        <f t="shared" si="2"/>
        <v>0</v>
      </c>
      <c r="J9" s="36">
        <f>$I$9*$C$209</f>
        <v>0</v>
      </c>
      <c r="K9" s="40"/>
    </row>
    <row r="10" spans="1:11" ht="12" customHeight="1">
      <c r="A10" s="41" t="s">
        <v>25</v>
      </c>
      <c r="B10" s="41" t="s">
        <v>26</v>
      </c>
      <c r="C10" s="34">
        <f aca="true" t="shared" si="3" ref="C10:C15">$C$210</f>
        <v>8</v>
      </c>
      <c r="D10" s="34">
        <f t="shared" si="0"/>
        <v>5</v>
      </c>
      <c r="E10" s="35">
        <f>SUM($E$7*$C$218)</f>
        <v>25</v>
      </c>
      <c r="F10" s="35">
        <f t="shared" si="1"/>
        <v>200</v>
      </c>
      <c r="G10" s="36">
        <f t="shared" si="1"/>
        <v>1000</v>
      </c>
      <c r="H10" s="35">
        <f>SUM($E$7*$C$201)</f>
        <v>25</v>
      </c>
      <c r="I10" s="38">
        <f t="shared" si="2"/>
        <v>200</v>
      </c>
      <c r="J10" s="36">
        <f>$I$10*$C$209</f>
        <v>800</v>
      </c>
      <c r="K10" s="40"/>
    </row>
    <row r="11" spans="1:11" ht="12" customHeight="1">
      <c r="A11" s="41" t="s">
        <v>27</v>
      </c>
      <c r="B11" s="41" t="s">
        <v>28</v>
      </c>
      <c r="C11" s="34">
        <f t="shared" si="3"/>
        <v>8</v>
      </c>
      <c r="D11" s="34">
        <f t="shared" si="0"/>
        <v>5</v>
      </c>
      <c r="E11" s="35">
        <f>SUM($E$7*$F$210)</f>
        <v>41.65</v>
      </c>
      <c r="F11" s="35">
        <f t="shared" si="1"/>
        <v>333.2</v>
      </c>
      <c r="G11" s="36">
        <f t="shared" si="1"/>
        <v>1666</v>
      </c>
      <c r="H11" s="35">
        <f>SUM($E$7*$F$210)</f>
        <v>41.65</v>
      </c>
      <c r="I11" s="38">
        <f t="shared" si="2"/>
        <v>333.2</v>
      </c>
      <c r="J11" s="36">
        <f>$I$11*$C$209</f>
        <v>1332.8</v>
      </c>
      <c r="K11" s="40"/>
    </row>
    <row r="12" spans="1:11" ht="12" customHeight="1">
      <c r="A12" s="41" t="s">
        <v>29</v>
      </c>
      <c r="B12" s="41" t="s">
        <v>30</v>
      </c>
      <c r="C12" s="34">
        <f t="shared" si="3"/>
        <v>8</v>
      </c>
      <c r="D12" s="34">
        <f t="shared" si="0"/>
        <v>5</v>
      </c>
      <c r="E12" s="35">
        <f>SUM($E$7:$E$11)*$F$211</f>
        <v>84.9472</v>
      </c>
      <c r="F12" s="35">
        <f t="shared" si="1"/>
        <v>679.5776</v>
      </c>
      <c r="G12" s="36">
        <f t="shared" si="1"/>
        <v>3397.888</v>
      </c>
      <c r="H12" s="35">
        <f>SUM($H$7:$H$11)*$F$211</f>
        <v>84.9472</v>
      </c>
      <c r="I12" s="38">
        <f t="shared" si="2"/>
        <v>679.5776</v>
      </c>
      <c r="J12" s="36">
        <f>$I$12*$C$209</f>
        <v>2718.3104</v>
      </c>
      <c r="K12" s="40"/>
    </row>
    <row r="13" spans="1:11" ht="12" customHeight="1">
      <c r="A13" s="41" t="s">
        <v>31</v>
      </c>
      <c r="B13" s="41" t="s">
        <v>32</v>
      </c>
      <c r="C13" s="34">
        <f t="shared" si="3"/>
        <v>8</v>
      </c>
      <c r="D13" s="34">
        <f t="shared" si="0"/>
        <v>5</v>
      </c>
      <c r="E13" s="35">
        <f>$F$207</f>
        <v>200</v>
      </c>
      <c r="F13" s="35">
        <f t="shared" si="1"/>
        <v>1600</v>
      </c>
      <c r="G13" s="36">
        <f t="shared" si="1"/>
        <v>8000</v>
      </c>
      <c r="H13" s="35">
        <f>$F$207</f>
        <v>200</v>
      </c>
      <c r="I13" s="38">
        <f t="shared" si="2"/>
        <v>1600</v>
      </c>
      <c r="J13" s="36">
        <f>$I$13*$C$209</f>
        <v>6400</v>
      </c>
      <c r="K13" s="40"/>
    </row>
    <row r="14" spans="1:11" ht="12" customHeight="1">
      <c r="A14" s="41" t="s">
        <v>33</v>
      </c>
      <c r="B14" s="41" t="s">
        <v>34</v>
      </c>
      <c r="C14" s="34">
        <f t="shared" si="3"/>
        <v>8</v>
      </c>
      <c r="D14" s="34">
        <f t="shared" si="0"/>
        <v>5</v>
      </c>
      <c r="E14" s="35">
        <v>25</v>
      </c>
      <c r="F14" s="35">
        <f t="shared" si="1"/>
        <v>200</v>
      </c>
      <c r="G14" s="36">
        <f t="shared" si="1"/>
        <v>1000</v>
      </c>
      <c r="H14" s="35">
        <v>25</v>
      </c>
      <c r="I14" s="38">
        <f t="shared" si="2"/>
        <v>200</v>
      </c>
      <c r="J14" s="36">
        <f>$I$14*$C$209</f>
        <v>800</v>
      </c>
      <c r="K14" s="40"/>
    </row>
    <row r="15" spans="1:11" ht="12" customHeight="1" thickBot="1">
      <c r="A15" s="41" t="s">
        <v>35</v>
      </c>
      <c r="B15" s="41" t="s">
        <v>36</v>
      </c>
      <c r="C15" s="34">
        <f t="shared" si="3"/>
        <v>8</v>
      </c>
      <c r="D15" s="34">
        <f t="shared" si="0"/>
        <v>5</v>
      </c>
      <c r="E15" s="35">
        <f>$C$217</f>
        <v>90</v>
      </c>
      <c r="F15" s="35">
        <f>C15*E15</f>
        <v>720</v>
      </c>
      <c r="G15" s="36">
        <f>F15</f>
        <v>720</v>
      </c>
      <c r="H15" s="35">
        <f>$C$217</f>
        <v>90</v>
      </c>
      <c r="I15" s="38">
        <f t="shared" si="2"/>
        <v>720</v>
      </c>
      <c r="J15" s="36">
        <f>I15</f>
        <v>720</v>
      </c>
      <c r="K15" s="40"/>
    </row>
    <row r="16" spans="1:11" ht="12" customHeight="1" thickBot="1">
      <c r="A16" s="43" t="s">
        <v>37</v>
      </c>
      <c r="B16" s="44" t="s">
        <v>38</v>
      </c>
      <c r="C16" s="45"/>
      <c r="D16" s="45"/>
      <c r="E16" s="46"/>
      <c r="F16" s="46">
        <f>SUM(F7:F15)</f>
        <v>7732.777599999999</v>
      </c>
      <c r="G16" s="47">
        <f>SUM(G7:G15)</f>
        <v>35783.888</v>
      </c>
      <c r="H16" s="45"/>
      <c r="I16" s="49">
        <f>SUM(I7:I15)</f>
        <v>7732.777599999999</v>
      </c>
      <c r="J16" s="47">
        <f>SUM(J7:J15)</f>
        <v>28771.110399999998</v>
      </c>
      <c r="K16" s="40"/>
    </row>
    <row r="17" spans="1:11" ht="12" customHeight="1">
      <c r="A17" s="41" t="s">
        <v>39</v>
      </c>
      <c r="B17" s="41" t="s">
        <v>40</v>
      </c>
      <c r="C17" s="34">
        <f aca="true" t="shared" si="4" ref="C17:C23">$C$211</f>
        <v>5</v>
      </c>
      <c r="D17" s="34">
        <f aca="true" t="shared" si="5" ref="D17:D22">$C$208</f>
        <v>5</v>
      </c>
      <c r="E17" s="35">
        <f>$F$205</f>
        <v>500</v>
      </c>
      <c r="F17" s="35">
        <f aca="true" t="shared" si="6" ref="F17:G21">C17*E17</f>
        <v>2500</v>
      </c>
      <c r="G17" s="36">
        <f t="shared" si="6"/>
        <v>12500</v>
      </c>
      <c r="H17" s="35">
        <f>$F$205</f>
        <v>500</v>
      </c>
      <c r="I17" s="38">
        <f aca="true" t="shared" si="7" ref="I17:I22">C17*H17</f>
        <v>2500</v>
      </c>
      <c r="J17" s="39">
        <f aca="true" t="shared" si="8" ref="J17:J22">I17*$C$209</f>
        <v>10000</v>
      </c>
      <c r="K17" s="40"/>
    </row>
    <row r="18" spans="1:11" ht="12" customHeight="1">
      <c r="A18" s="41" t="s">
        <v>41</v>
      </c>
      <c r="B18" s="41" t="s">
        <v>42</v>
      </c>
      <c r="C18" s="34">
        <f t="shared" si="4"/>
        <v>5</v>
      </c>
      <c r="D18" s="34">
        <f t="shared" si="5"/>
        <v>5</v>
      </c>
      <c r="E18" s="35">
        <f>SUM($E$17*$C$219)</f>
        <v>25</v>
      </c>
      <c r="F18" s="35">
        <f t="shared" si="6"/>
        <v>125</v>
      </c>
      <c r="G18" s="36">
        <f t="shared" si="6"/>
        <v>625</v>
      </c>
      <c r="H18" s="35">
        <f>SUM($E$17*$F$219)</f>
        <v>25</v>
      </c>
      <c r="I18" s="38">
        <f t="shared" si="7"/>
        <v>125</v>
      </c>
      <c r="J18" s="39">
        <f t="shared" si="8"/>
        <v>500</v>
      </c>
      <c r="K18" s="40"/>
    </row>
    <row r="19" spans="1:11" ht="12" customHeight="1">
      <c r="A19" s="41" t="s">
        <v>43</v>
      </c>
      <c r="B19" s="41" t="s">
        <v>44</v>
      </c>
      <c r="C19" s="34">
        <f t="shared" si="4"/>
        <v>5</v>
      </c>
      <c r="D19" s="34">
        <f t="shared" si="5"/>
        <v>5</v>
      </c>
      <c r="E19" s="35">
        <f>SUM($E$17*$F$210)</f>
        <v>41.65</v>
      </c>
      <c r="F19" s="35">
        <f t="shared" si="6"/>
        <v>208.25</v>
      </c>
      <c r="G19" s="36">
        <f t="shared" si="6"/>
        <v>1041.25</v>
      </c>
      <c r="H19" s="35">
        <f>SUM($E$17*$F$210)</f>
        <v>41.65</v>
      </c>
      <c r="I19" s="38">
        <f t="shared" si="7"/>
        <v>208.25</v>
      </c>
      <c r="J19" s="39">
        <f t="shared" si="8"/>
        <v>833</v>
      </c>
      <c r="K19" s="40"/>
    </row>
    <row r="20" spans="1:11" ht="12" customHeight="1">
      <c r="A20" s="41" t="s">
        <v>45</v>
      </c>
      <c r="B20" s="41" t="s">
        <v>46</v>
      </c>
      <c r="C20" s="34">
        <f t="shared" si="4"/>
        <v>5</v>
      </c>
      <c r="D20" s="34">
        <f t="shared" si="5"/>
        <v>5</v>
      </c>
      <c r="E20" s="35">
        <f>SUM($E$17:$E$19)*$F$211</f>
        <v>72.5312</v>
      </c>
      <c r="F20" s="35">
        <f t="shared" si="6"/>
        <v>362.656</v>
      </c>
      <c r="G20" s="36">
        <f t="shared" si="6"/>
        <v>1813.28</v>
      </c>
      <c r="H20" s="35">
        <f>SUM($E$17:$E$19)*$F$211</f>
        <v>72.5312</v>
      </c>
      <c r="I20" s="38">
        <f t="shared" si="7"/>
        <v>362.656</v>
      </c>
      <c r="J20" s="39">
        <f t="shared" si="8"/>
        <v>1450.624</v>
      </c>
      <c r="K20" s="40"/>
    </row>
    <row r="21" spans="1:11" ht="12" customHeight="1">
      <c r="A21" s="41" t="s">
        <v>47</v>
      </c>
      <c r="B21" s="41" t="s">
        <v>48</v>
      </c>
      <c r="C21" s="34">
        <f t="shared" si="4"/>
        <v>5</v>
      </c>
      <c r="D21" s="34">
        <f t="shared" si="5"/>
        <v>5</v>
      </c>
      <c r="E21" s="35">
        <f>$F$206</f>
        <v>200</v>
      </c>
      <c r="F21" s="35">
        <f t="shared" si="6"/>
        <v>1000</v>
      </c>
      <c r="G21" s="36">
        <f t="shared" si="6"/>
        <v>5000</v>
      </c>
      <c r="H21" s="35">
        <f>$F$206</f>
        <v>200</v>
      </c>
      <c r="I21" s="38">
        <f t="shared" si="7"/>
        <v>1000</v>
      </c>
      <c r="J21" s="39">
        <f t="shared" si="8"/>
        <v>4000</v>
      </c>
      <c r="K21" s="40"/>
    </row>
    <row r="22" spans="1:11" ht="12" customHeight="1">
      <c r="A22" s="41" t="s">
        <v>49</v>
      </c>
      <c r="B22" s="41" t="s">
        <v>50</v>
      </c>
      <c r="C22" s="34">
        <f t="shared" si="4"/>
        <v>5</v>
      </c>
      <c r="D22" s="34">
        <f t="shared" si="5"/>
        <v>5</v>
      </c>
      <c r="E22" s="35">
        <f>$C$217</f>
        <v>90</v>
      </c>
      <c r="F22" s="35">
        <f>C22*E22</f>
        <v>450</v>
      </c>
      <c r="G22" s="36">
        <f>F22</f>
        <v>450</v>
      </c>
      <c r="H22" s="35">
        <f>$C$217</f>
        <v>90</v>
      </c>
      <c r="I22" s="38">
        <f t="shared" si="7"/>
        <v>450</v>
      </c>
      <c r="J22" s="36">
        <f t="shared" si="8"/>
        <v>1800</v>
      </c>
      <c r="K22" s="40"/>
    </row>
    <row r="23" spans="1:11" ht="12" customHeight="1" thickBot="1">
      <c r="A23" s="41" t="s">
        <v>51</v>
      </c>
      <c r="B23" s="41" t="s">
        <v>52</v>
      </c>
      <c r="C23" s="34">
        <f t="shared" si="4"/>
        <v>5</v>
      </c>
      <c r="D23" s="34"/>
      <c r="E23" s="35">
        <v>50</v>
      </c>
      <c r="F23" s="35">
        <f>C23*E23</f>
        <v>250</v>
      </c>
      <c r="G23" s="36">
        <f>F23</f>
        <v>250</v>
      </c>
      <c r="H23" s="35">
        <v>50</v>
      </c>
      <c r="I23" s="38"/>
      <c r="J23" s="36">
        <f>H23*C23</f>
        <v>250</v>
      </c>
      <c r="K23" s="40"/>
    </row>
    <row r="24" spans="1:11" ht="12" customHeight="1" thickBot="1">
      <c r="A24" s="43" t="s">
        <v>53</v>
      </c>
      <c r="B24" s="44" t="s">
        <v>54</v>
      </c>
      <c r="C24" s="45"/>
      <c r="D24" s="45"/>
      <c r="E24" s="46"/>
      <c r="F24" s="46">
        <f>SUM(F17:F22)</f>
        <v>4645.906</v>
      </c>
      <c r="G24" s="47">
        <f>SUM(G17:G22)</f>
        <v>21429.53</v>
      </c>
      <c r="H24" s="45"/>
      <c r="I24" s="49">
        <f>SUM(I17:I22)</f>
        <v>4645.906</v>
      </c>
      <c r="J24" s="47">
        <f>SUM(J17:J22)</f>
        <v>18583.624</v>
      </c>
      <c r="K24" s="40"/>
    </row>
    <row r="25" spans="1:11" ht="12" customHeight="1">
      <c r="A25" s="41" t="s">
        <v>55</v>
      </c>
      <c r="B25" s="50" t="s">
        <v>56</v>
      </c>
      <c r="C25" s="51">
        <v>1</v>
      </c>
      <c r="D25" s="34">
        <f aca="true" t="shared" si="9" ref="D25:D30">$C$207</f>
        <v>5</v>
      </c>
      <c r="E25" s="35">
        <v>600</v>
      </c>
      <c r="F25" s="35">
        <f aca="true" t="shared" si="10" ref="F25:G29">C25*E25</f>
        <v>600</v>
      </c>
      <c r="G25" s="36">
        <f t="shared" si="10"/>
        <v>3000</v>
      </c>
      <c r="H25" s="35">
        <f>E25</f>
        <v>600</v>
      </c>
      <c r="I25" s="38">
        <f>C25*H25</f>
        <v>600</v>
      </c>
      <c r="J25" s="36">
        <f>$I$25*$C$209</f>
        <v>2400</v>
      </c>
      <c r="K25" s="40"/>
    </row>
    <row r="26" spans="1:11" ht="12" customHeight="1">
      <c r="A26" s="41" t="s">
        <v>55</v>
      </c>
      <c r="B26" s="50" t="s">
        <v>57</v>
      </c>
      <c r="C26" s="51">
        <v>1</v>
      </c>
      <c r="D26" s="34">
        <f t="shared" si="9"/>
        <v>5</v>
      </c>
      <c r="E26" s="35">
        <v>450</v>
      </c>
      <c r="F26" s="35">
        <f t="shared" si="10"/>
        <v>450</v>
      </c>
      <c r="G26" s="36">
        <f t="shared" si="10"/>
        <v>2250</v>
      </c>
      <c r="H26" s="35">
        <f>E26</f>
        <v>450</v>
      </c>
      <c r="I26" s="38">
        <f>C26*H26</f>
        <v>450</v>
      </c>
      <c r="J26" s="36">
        <f>$I$26*$C$209</f>
        <v>1800</v>
      </c>
      <c r="K26" s="40"/>
    </row>
    <row r="27" spans="1:11" ht="12" customHeight="1">
      <c r="A27" s="41" t="s">
        <v>55</v>
      </c>
      <c r="B27" s="50" t="s">
        <v>58</v>
      </c>
      <c r="C27" s="51">
        <v>1</v>
      </c>
      <c r="D27" s="34">
        <f t="shared" si="9"/>
        <v>5</v>
      </c>
      <c r="E27" s="35">
        <v>350</v>
      </c>
      <c r="F27" s="35">
        <f t="shared" si="10"/>
        <v>350</v>
      </c>
      <c r="G27" s="36">
        <f t="shared" si="10"/>
        <v>1750</v>
      </c>
      <c r="H27" s="35">
        <f>E27</f>
        <v>350</v>
      </c>
      <c r="I27" s="38">
        <f>C27*H27</f>
        <v>350</v>
      </c>
      <c r="J27" s="36">
        <f>$I$27*$C$209</f>
        <v>1400</v>
      </c>
      <c r="K27" s="40"/>
    </row>
    <row r="28" spans="1:11" ht="12" customHeight="1">
      <c r="A28" s="41" t="s">
        <v>59</v>
      </c>
      <c r="B28" s="50" t="s">
        <v>60</v>
      </c>
      <c r="C28" s="51">
        <f>SUM($C$25:$C$27)</f>
        <v>3</v>
      </c>
      <c r="D28" s="34">
        <f t="shared" si="9"/>
        <v>5</v>
      </c>
      <c r="E28" s="35">
        <f>$F$207</f>
        <v>200</v>
      </c>
      <c r="F28" s="35">
        <f t="shared" si="10"/>
        <v>600</v>
      </c>
      <c r="G28" s="36">
        <f t="shared" si="10"/>
        <v>3000</v>
      </c>
      <c r="H28" s="35">
        <f>$F$207</f>
        <v>200</v>
      </c>
      <c r="I28" s="38">
        <f>C28*H28</f>
        <v>600</v>
      </c>
      <c r="J28" s="36">
        <f>$I$28*$C$209</f>
        <v>2400</v>
      </c>
      <c r="K28" s="40"/>
    </row>
    <row r="29" spans="1:11" ht="12" customHeight="1">
      <c r="A29" s="41" t="s">
        <v>61</v>
      </c>
      <c r="B29" s="50" t="s">
        <v>62</v>
      </c>
      <c r="C29" s="51">
        <v>3</v>
      </c>
      <c r="D29" s="34">
        <f t="shared" si="9"/>
        <v>5</v>
      </c>
      <c r="E29" s="35">
        <f>SUM($E$25:$E$27)*$F$199</f>
        <v>140</v>
      </c>
      <c r="F29" s="35">
        <f t="shared" si="10"/>
        <v>420</v>
      </c>
      <c r="G29" s="36">
        <f t="shared" si="10"/>
        <v>2100</v>
      </c>
      <c r="H29" s="35">
        <f>SUM($E$25:$E$27)*$F$200</f>
        <v>140</v>
      </c>
      <c r="I29" s="38">
        <f>C29*H29</f>
        <v>420</v>
      </c>
      <c r="J29" s="36">
        <f>$I$29*$C$209</f>
        <v>1680</v>
      </c>
      <c r="K29" s="40"/>
    </row>
    <row r="30" spans="1:11" ht="12" customHeight="1" thickBot="1">
      <c r="A30" s="41" t="s">
        <v>63</v>
      </c>
      <c r="B30" s="52" t="s">
        <v>64</v>
      </c>
      <c r="C30" s="34">
        <v>0</v>
      </c>
      <c r="D30" s="34">
        <f t="shared" si="9"/>
        <v>5</v>
      </c>
      <c r="E30" s="35">
        <f>SUM($F$25:$F$29)*$F$211</f>
        <v>309.76</v>
      </c>
      <c r="F30" s="35">
        <f>E30</f>
        <v>309.76</v>
      </c>
      <c r="G30" s="36">
        <f>D30*F30</f>
        <v>1548.8</v>
      </c>
      <c r="H30" s="35">
        <f>SUM($I$25:$I$29)*$F$211</f>
        <v>309.76</v>
      </c>
      <c r="I30" s="38">
        <f>H30</f>
        <v>309.76</v>
      </c>
      <c r="J30" s="36">
        <f>H30*D30</f>
        <v>1548.8</v>
      </c>
      <c r="K30" s="40"/>
    </row>
    <row r="31" spans="1:11" ht="12" customHeight="1" thickBot="1">
      <c r="A31" s="43" t="s">
        <v>65</v>
      </c>
      <c r="B31" s="44" t="s">
        <v>66</v>
      </c>
      <c r="C31" s="45"/>
      <c r="D31" s="45"/>
      <c r="E31" s="46"/>
      <c r="F31" s="46">
        <f>SUM(F25:F30)</f>
        <v>2729.76</v>
      </c>
      <c r="G31" s="47">
        <f>SUM(G25:G30)</f>
        <v>13648.8</v>
      </c>
      <c r="H31" s="45">
        <f>SUM(H25:H30)</f>
        <v>2049.76</v>
      </c>
      <c r="I31" s="45">
        <f>SUM(I25:I30)</f>
        <v>2729.76</v>
      </c>
      <c r="J31" s="47">
        <f>SUM(J25:J30)</f>
        <v>11228.8</v>
      </c>
      <c r="K31" s="40"/>
    </row>
    <row r="32" spans="1:11" ht="12" customHeight="1">
      <c r="A32" s="41" t="s">
        <v>279</v>
      </c>
      <c r="B32" s="50" t="s">
        <v>444</v>
      </c>
      <c r="C32" s="51">
        <v>1</v>
      </c>
      <c r="D32" s="34">
        <f>$C$207</f>
        <v>5</v>
      </c>
      <c r="E32" s="35">
        <v>600</v>
      </c>
      <c r="F32" s="35">
        <f>C32*E32</f>
        <v>600</v>
      </c>
      <c r="G32" s="36">
        <f aca="true" t="shared" si="11" ref="F32:G38">D32*F32</f>
        <v>3000</v>
      </c>
      <c r="H32" s="34">
        <f>E32</f>
        <v>600</v>
      </c>
      <c r="I32" s="38">
        <f aca="true" t="shared" si="12" ref="I32:I38">C32*H32</f>
        <v>600</v>
      </c>
      <c r="J32" s="36">
        <f>$I$32*$C$209</f>
        <v>2400</v>
      </c>
      <c r="K32" s="40"/>
    </row>
    <row r="33" spans="1:11" ht="12" customHeight="1">
      <c r="A33" s="41" t="s">
        <v>279</v>
      </c>
      <c r="B33" s="50" t="s">
        <v>67</v>
      </c>
      <c r="C33" s="51">
        <v>1</v>
      </c>
      <c r="D33" s="34">
        <v>1</v>
      </c>
      <c r="E33" s="35">
        <v>500</v>
      </c>
      <c r="F33" s="35">
        <f>C33*E33</f>
        <v>500</v>
      </c>
      <c r="G33" s="36">
        <f t="shared" si="11"/>
        <v>500</v>
      </c>
      <c r="H33" s="34">
        <f>E33</f>
        <v>500</v>
      </c>
      <c r="I33" s="38">
        <f t="shared" si="12"/>
        <v>500</v>
      </c>
      <c r="J33" s="36">
        <f>H33*$C$209</f>
        <v>2000</v>
      </c>
      <c r="K33" s="40"/>
    </row>
    <row r="34" spans="1:11" ht="12" customHeight="1">
      <c r="A34" s="41"/>
      <c r="B34" s="50" t="s">
        <v>414</v>
      </c>
      <c r="C34" s="51">
        <v>1</v>
      </c>
      <c r="D34" s="34">
        <f>$C$207</f>
        <v>5</v>
      </c>
      <c r="E34" s="35">
        <v>600</v>
      </c>
      <c r="F34" s="35">
        <f>C34*E34</f>
        <v>600</v>
      </c>
      <c r="G34" s="36">
        <f t="shared" si="11"/>
        <v>3000</v>
      </c>
      <c r="H34" s="34">
        <v>0</v>
      </c>
      <c r="I34" s="38">
        <f t="shared" si="12"/>
        <v>0</v>
      </c>
      <c r="J34" s="36">
        <f>H34*$C$209</f>
        <v>0</v>
      </c>
      <c r="K34" s="40"/>
    </row>
    <row r="35" spans="1:11" ht="12" customHeight="1">
      <c r="A35" s="41"/>
      <c r="B35" s="50" t="s">
        <v>413</v>
      </c>
      <c r="C35" s="51">
        <v>1</v>
      </c>
      <c r="D35" s="34">
        <v>1</v>
      </c>
      <c r="E35" s="35">
        <v>400</v>
      </c>
      <c r="F35" s="35">
        <f>C35*E35</f>
        <v>400</v>
      </c>
      <c r="G35" s="36">
        <f t="shared" si="11"/>
        <v>400</v>
      </c>
      <c r="H35" s="34">
        <f>E35</f>
        <v>400</v>
      </c>
      <c r="I35" s="38">
        <f t="shared" si="12"/>
        <v>400</v>
      </c>
      <c r="J35" s="36">
        <f>H35*$C$209</f>
        <v>1600</v>
      </c>
      <c r="K35" s="40"/>
    </row>
    <row r="36" spans="1:11" ht="12" customHeight="1">
      <c r="A36" s="41" t="s">
        <v>280</v>
      </c>
      <c r="B36" s="50" t="s">
        <v>69</v>
      </c>
      <c r="C36" s="51">
        <v>1</v>
      </c>
      <c r="D36" s="34">
        <f>$C$207</f>
        <v>5</v>
      </c>
      <c r="E36" s="35">
        <v>600</v>
      </c>
      <c r="F36" s="35">
        <f t="shared" si="11"/>
        <v>600</v>
      </c>
      <c r="G36" s="36">
        <f t="shared" si="11"/>
        <v>3000</v>
      </c>
      <c r="H36" s="34">
        <v>0</v>
      </c>
      <c r="I36" s="38">
        <f t="shared" si="12"/>
        <v>0</v>
      </c>
      <c r="J36" s="36">
        <f>H36*$C$209</f>
        <v>0</v>
      </c>
      <c r="K36" s="40"/>
    </row>
    <row r="37" spans="1:11" ht="12" customHeight="1">
      <c r="A37" s="41" t="s">
        <v>280</v>
      </c>
      <c r="B37" s="50" t="s">
        <v>70</v>
      </c>
      <c r="C37" s="51">
        <v>0</v>
      </c>
      <c r="D37" s="34"/>
      <c r="E37" s="35"/>
      <c r="F37" s="35">
        <f t="shared" si="11"/>
        <v>0</v>
      </c>
      <c r="G37" s="36">
        <f t="shared" si="11"/>
        <v>0</v>
      </c>
      <c r="H37" s="34"/>
      <c r="I37" s="38">
        <f t="shared" si="12"/>
        <v>0</v>
      </c>
      <c r="J37" s="36">
        <f>$I$37*$C$209</f>
        <v>0</v>
      </c>
      <c r="K37" s="40"/>
    </row>
    <row r="38" spans="1:11" ht="12" customHeight="1">
      <c r="A38" s="41" t="s">
        <v>281</v>
      </c>
      <c r="B38" s="60" t="s">
        <v>71</v>
      </c>
      <c r="C38" s="61">
        <v>0</v>
      </c>
      <c r="D38" s="62"/>
      <c r="E38" s="63"/>
      <c r="F38" s="63">
        <f t="shared" si="11"/>
        <v>0</v>
      </c>
      <c r="G38" s="36">
        <f t="shared" si="11"/>
        <v>0</v>
      </c>
      <c r="H38" s="62"/>
      <c r="I38" s="66">
        <f t="shared" si="12"/>
        <v>0</v>
      </c>
      <c r="J38" s="64">
        <f>$I$38*$C$209</f>
        <v>0</v>
      </c>
      <c r="K38" s="40"/>
    </row>
    <row r="39" spans="1:11" ht="12" customHeight="1">
      <c r="A39" s="41"/>
      <c r="B39" s="67"/>
      <c r="C39" s="68"/>
      <c r="D39" s="69"/>
      <c r="E39" s="70"/>
      <c r="F39" s="70">
        <f>SUM(F32:F38)</f>
        <v>2700</v>
      </c>
      <c r="G39" s="71">
        <f>SUM(G32:G38)</f>
        <v>9900</v>
      </c>
      <c r="H39" s="69">
        <f>SUM(H32:H38)</f>
        <v>1500</v>
      </c>
      <c r="I39" s="73">
        <f>SUM(I32:I38)</f>
        <v>1500</v>
      </c>
      <c r="J39" s="71">
        <f>SUM(J32:J38)</f>
        <v>6000</v>
      </c>
      <c r="K39" s="40"/>
    </row>
    <row r="40" spans="1:11" ht="12" customHeight="1">
      <c r="A40" s="41" t="s">
        <v>282</v>
      </c>
      <c r="B40" s="50" t="s">
        <v>419</v>
      </c>
      <c r="C40" s="35">
        <f>C202</f>
        <v>1</v>
      </c>
      <c r="D40" s="34">
        <f>$F$208</f>
        <v>1</v>
      </c>
      <c r="E40" s="35">
        <f>$F$202</f>
        <v>400</v>
      </c>
      <c r="F40" s="35">
        <f aca="true" t="shared" si="13" ref="F40:G43">C40*E40</f>
        <v>400</v>
      </c>
      <c r="G40" s="36">
        <f t="shared" si="13"/>
        <v>400</v>
      </c>
      <c r="H40" s="34">
        <f>E40</f>
        <v>400</v>
      </c>
      <c r="I40" s="38">
        <f>C40*H40</f>
        <v>400</v>
      </c>
      <c r="J40" s="36">
        <f>$I$40*$C$209</f>
        <v>1600</v>
      </c>
      <c r="K40" s="40"/>
    </row>
    <row r="41" spans="1:11" ht="12" customHeight="1">
      <c r="A41" s="41" t="s">
        <v>283</v>
      </c>
      <c r="B41" s="50" t="s">
        <v>73</v>
      </c>
      <c r="C41" s="74">
        <f>C203</f>
        <v>1</v>
      </c>
      <c r="D41" s="34">
        <f>$F$208</f>
        <v>1</v>
      </c>
      <c r="E41" s="35">
        <f>$F$203</f>
        <v>400</v>
      </c>
      <c r="F41" s="35">
        <f t="shared" si="13"/>
        <v>400</v>
      </c>
      <c r="G41" s="36">
        <f t="shared" si="13"/>
        <v>400</v>
      </c>
      <c r="H41" s="34">
        <f>E41</f>
        <v>400</v>
      </c>
      <c r="I41" s="38">
        <f>C41*H41</f>
        <v>400</v>
      </c>
      <c r="J41" s="36">
        <f>$I$41*$C$209</f>
        <v>1600</v>
      </c>
      <c r="K41" s="40"/>
    </row>
    <row r="42" spans="1:11" ht="12" customHeight="1">
      <c r="A42" s="41" t="s">
        <v>408</v>
      </c>
      <c r="B42" s="50" t="s">
        <v>409</v>
      </c>
      <c r="C42" s="74"/>
      <c r="D42" s="34"/>
      <c r="E42" s="35"/>
      <c r="F42" s="35"/>
      <c r="G42" s="36"/>
      <c r="H42" s="34"/>
      <c r="I42" s="38"/>
      <c r="J42" s="36"/>
      <c r="K42" s="40"/>
    </row>
    <row r="43" spans="1:11" ht="12" customHeight="1">
      <c r="A43" s="41" t="s">
        <v>284</v>
      </c>
      <c r="B43" s="50" t="s">
        <v>74</v>
      </c>
      <c r="C43" s="35">
        <f>SUM(C40+C41+C35+C33)</f>
        <v>4</v>
      </c>
      <c r="D43" s="34">
        <f>$F$208</f>
        <v>1</v>
      </c>
      <c r="E43" s="35">
        <f>SUM($E$40:$E$41)*$C$200</f>
        <v>80</v>
      </c>
      <c r="F43" s="35">
        <f t="shared" si="13"/>
        <v>320</v>
      </c>
      <c r="G43" s="36">
        <f t="shared" si="13"/>
        <v>320</v>
      </c>
      <c r="H43" s="35">
        <f>SUM($H$40:$H$41)*$F$201</f>
        <v>40</v>
      </c>
      <c r="I43" s="35">
        <f>SUM($I$40:$I$41)*$F$201</f>
        <v>40</v>
      </c>
      <c r="J43" s="36">
        <f>$I$43*$C$209</f>
        <v>160</v>
      </c>
      <c r="K43" s="40"/>
    </row>
    <row r="44" spans="1:11" ht="12" customHeight="1" thickBot="1">
      <c r="A44" s="41" t="s">
        <v>284</v>
      </c>
      <c r="B44" s="50" t="s">
        <v>75</v>
      </c>
      <c r="C44" s="35">
        <f>SUM(C40:C41)</f>
        <v>2</v>
      </c>
      <c r="D44" s="34">
        <f>$F$208</f>
        <v>1</v>
      </c>
      <c r="E44" s="35">
        <f>SUM($F$40:$F$43)*$F$211</f>
        <v>143.36</v>
      </c>
      <c r="F44" s="35">
        <f>E44</f>
        <v>143.36</v>
      </c>
      <c r="G44" s="36">
        <f>D44*F44</f>
        <v>143.36</v>
      </c>
      <c r="H44" s="34">
        <f>E44</f>
        <v>143.36</v>
      </c>
      <c r="I44" s="38">
        <f>H44</f>
        <v>143.36</v>
      </c>
      <c r="J44" s="36">
        <f>$I$44*$C$209</f>
        <v>573.44</v>
      </c>
      <c r="K44" s="40"/>
    </row>
    <row r="45" spans="1:11" ht="12" customHeight="1" thickBot="1">
      <c r="A45" s="75"/>
      <c r="B45" s="44" t="s">
        <v>76</v>
      </c>
      <c r="C45" s="45"/>
      <c r="D45" s="45"/>
      <c r="E45" s="46"/>
      <c r="F45" s="46">
        <f>SUM(F40:F44)</f>
        <v>1263.3600000000001</v>
      </c>
      <c r="G45" s="47">
        <f>SUM(G40:G44)</f>
        <v>1263.3600000000001</v>
      </c>
      <c r="H45" s="46">
        <f>SUM(H40:H44)</f>
        <v>983.36</v>
      </c>
      <c r="I45" s="76">
        <f>SUM(I40:I44)</f>
        <v>983.36</v>
      </c>
      <c r="J45" s="47">
        <f>SUM(J40:J44)</f>
        <v>3933.44</v>
      </c>
      <c r="K45" s="40"/>
    </row>
    <row r="46" spans="1:11" s="318" customFormat="1" ht="12" customHeight="1" thickBot="1">
      <c r="A46" s="77"/>
      <c r="B46" s="78"/>
      <c r="C46" s="79"/>
      <c r="D46" s="79"/>
      <c r="E46" s="40"/>
      <c r="F46" s="40"/>
      <c r="G46" s="80"/>
      <c r="H46" s="40"/>
      <c r="I46" s="40"/>
      <c r="J46" s="80"/>
      <c r="K46" s="40"/>
    </row>
    <row r="47" spans="1:11" ht="12" customHeight="1" thickBot="1">
      <c r="A47" s="75"/>
      <c r="B47" s="44" t="s">
        <v>77</v>
      </c>
      <c r="C47" s="45"/>
      <c r="D47" s="45"/>
      <c r="E47" s="46"/>
      <c r="F47" s="46">
        <f>F16+F24+F31+F39+F45</f>
        <v>19071.8036</v>
      </c>
      <c r="G47" s="47">
        <f>G16+G24+G31+G39+G45</f>
        <v>82025.578</v>
      </c>
      <c r="H47" s="46">
        <f>H16+H24+H31+H39+H45</f>
        <v>4533.12</v>
      </c>
      <c r="I47" s="76">
        <f>I16+I24+I31+I39+I45</f>
        <v>17591.8036</v>
      </c>
      <c r="J47" s="81">
        <f>J16+J24+J31+J39+J45</f>
        <v>68516.9744</v>
      </c>
      <c r="K47" s="40"/>
    </row>
    <row r="48" spans="1:13" ht="12" customHeight="1" thickBot="1">
      <c r="A48" s="77"/>
      <c r="B48" s="78"/>
      <c r="C48" s="79"/>
      <c r="D48" s="79"/>
      <c r="E48" s="40"/>
      <c r="F48" s="80"/>
      <c r="G48" s="80"/>
      <c r="H48" s="80"/>
      <c r="I48" s="80"/>
      <c r="J48" s="80"/>
      <c r="K48" s="80"/>
      <c r="L48" s="80"/>
      <c r="M48" s="40"/>
    </row>
    <row r="49" spans="1:13" ht="12" customHeight="1" thickBot="1">
      <c r="A49" s="319" t="s">
        <v>78</v>
      </c>
      <c r="B49" s="320" t="s">
        <v>79</v>
      </c>
      <c r="C49" s="321"/>
      <c r="D49" s="321"/>
      <c r="E49" s="86" t="s">
        <v>80</v>
      </c>
      <c r="F49" s="87"/>
      <c r="G49" s="88" t="s">
        <v>81</v>
      </c>
      <c r="H49" s="88"/>
      <c r="I49" s="322"/>
      <c r="J49" s="88"/>
      <c r="K49" s="323"/>
      <c r="L49" s="323"/>
      <c r="M49" s="324"/>
    </row>
    <row r="50" spans="1:13" ht="12" customHeight="1" thickBot="1">
      <c r="A50" s="34"/>
      <c r="B50" s="325"/>
      <c r="C50" s="326" t="s">
        <v>82</v>
      </c>
      <c r="D50" s="327" t="s">
        <v>83</v>
      </c>
      <c r="E50" s="326" t="s">
        <v>84</v>
      </c>
      <c r="F50" s="327" t="s">
        <v>83</v>
      </c>
      <c r="G50" s="326" t="s">
        <v>85</v>
      </c>
      <c r="H50" s="327" t="s">
        <v>83</v>
      </c>
      <c r="I50" s="487" t="s">
        <v>16</v>
      </c>
      <c r="J50" s="488" t="s">
        <v>83</v>
      </c>
      <c r="K50" s="328" t="s">
        <v>86</v>
      </c>
      <c r="L50" s="328"/>
      <c r="M50" s="324"/>
    </row>
    <row r="51" spans="1:13" ht="12" customHeight="1" thickBot="1">
      <c r="A51" s="79"/>
      <c r="B51" s="330" t="s">
        <v>437</v>
      </c>
      <c r="C51" s="333"/>
      <c r="D51" s="332"/>
      <c r="E51" s="333"/>
      <c r="F51" s="332"/>
      <c r="G51" s="333"/>
      <c r="H51" s="332"/>
      <c r="I51" s="334">
        <f>(15*200)+250</f>
        <v>3250</v>
      </c>
      <c r="J51" s="489"/>
      <c r="K51" s="455"/>
      <c r="L51" s="455"/>
      <c r="M51" s="456"/>
    </row>
    <row r="52" spans="1:13" ht="12" customHeight="1">
      <c r="A52" s="329" t="s">
        <v>87</v>
      </c>
      <c r="B52" s="330" t="s">
        <v>88</v>
      </c>
      <c r="C52" s="331">
        <v>3000</v>
      </c>
      <c r="D52" s="457"/>
      <c r="E52" s="333"/>
      <c r="F52" s="332"/>
      <c r="G52" s="333"/>
      <c r="H52" s="332"/>
      <c r="I52" s="334">
        <f aca="true" t="shared" si="14" ref="I52:J68">SUM(C52+E52+G52)</f>
        <v>3000</v>
      </c>
      <c r="J52" s="335">
        <f t="shared" si="14"/>
        <v>0</v>
      </c>
      <c r="K52" s="336"/>
      <c r="L52" s="336"/>
      <c r="M52" s="337"/>
    </row>
    <row r="53" spans="1:13" ht="12" customHeight="1">
      <c r="A53" s="34" t="s">
        <v>89</v>
      </c>
      <c r="B53" s="34" t="s">
        <v>90</v>
      </c>
      <c r="C53" s="338">
        <v>5000</v>
      </c>
      <c r="D53" s="339"/>
      <c r="E53" s="416"/>
      <c r="F53" s="339"/>
      <c r="G53" s="416"/>
      <c r="H53" s="339"/>
      <c r="I53" s="334">
        <f t="shared" si="14"/>
        <v>5000</v>
      </c>
      <c r="J53" s="335">
        <f t="shared" si="14"/>
        <v>0</v>
      </c>
      <c r="K53" s="159" t="s">
        <v>445</v>
      </c>
      <c r="L53" s="159"/>
      <c r="M53" s="162"/>
    </row>
    <row r="54" spans="1:13" ht="12" customHeight="1">
      <c r="A54" s="34" t="s">
        <v>111</v>
      </c>
      <c r="B54" s="34" t="s">
        <v>112</v>
      </c>
      <c r="C54" s="338">
        <v>5000</v>
      </c>
      <c r="D54" s="340"/>
      <c r="E54" s="338"/>
      <c r="F54" s="340"/>
      <c r="G54" s="338"/>
      <c r="H54" s="340"/>
      <c r="I54" s="334">
        <f>SUM(C54+E54+G54)</f>
        <v>5000</v>
      </c>
      <c r="J54" s="335">
        <f>SUM(D54+F54+H54)</f>
        <v>0</v>
      </c>
      <c r="K54" s="159" t="s">
        <v>446</v>
      </c>
      <c r="L54" s="159"/>
      <c r="M54" s="162"/>
    </row>
    <row r="55" spans="1:13" ht="12" customHeight="1">
      <c r="A55" s="34" t="s">
        <v>91</v>
      </c>
      <c r="B55" s="34" t="s">
        <v>92</v>
      </c>
      <c r="C55" s="338">
        <v>5000</v>
      </c>
      <c r="D55" s="340"/>
      <c r="E55" s="338">
        <f>8*100</f>
        <v>800</v>
      </c>
      <c r="F55" s="340"/>
      <c r="G55" s="338">
        <f>(5*200)</f>
        <v>1000</v>
      </c>
      <c r="H55" s="340"/>
      <c r="I55" s="334">
        <f t="shared" si="14"/>
        <v>6800</v>
      </c>
      <c r="J55" s="335">
        <f t="shared" si="14"/>
        <v>0</v>
      </c>
      <c r="K55" s="159" t="s">
        <v>415</v>
      </c>
      <c r="L55" s="159"/>
      <c r="M55" s="162"/>
    </row>
    <row r="56" spans="1:13" ht="12" customHeight="1">
      <c r="A56" s="34" t="s">
        <v>93</v>
      </c>
      <c r="B56" s="34" t="s">
        <v>94</v>
      </c>
      <c r="C56" s="338"/>
      <c r="D56" s="341"/>
      <c r="E56" s="338"/>
      <c r="F56" s="340"/>
      <c r="G56" s="338"/>
      <c r="H56" s="340"/>
      <c r="I56" s="334">
        <f t="shared" si="14"/>
        <v>0</v>
      </c>
      <c r="J56" s="335">
        <f t="shared" si="14"/>
        <v>0</v>
      </c>
      <c r="K56" s="159"/>
      <c r="L56" s="159"/>
      <c r="M56" s="162"/>
    </row>
    <row r="57" spans="1:13" ht="12" customHeight="1">
      <c r="A57" s="34" t="s">
        <v>95</v>
      </c>
      <c r="B57" s="34" t="s">
        <v>96</v>
      </c>
      <c r="C57" s="338">
        <v>5000</v>
      </c>
      <c r="D57" s="341"/>
      <c r="E57" s="338">
        <f>6*100</f>
        <v>600</v>
      </c>
      <c r="F57" s="341"/>
      <c r="G57" s="338">
        <f>3*200</f>
        <v>600</v>
      </c>
      <c r="H57" s="341"/>
      <c r="I57" s="334">
        <f t="shared" si="14"/>
        <v>6200</v>
      </c>
      <c r="J57" s="335">
        <f t="shared" si="14"/>
        <v>0</v>
      </c>
      <c r="K57" s="159"/>
      <c r="L57" s="159"/>
      <c r="M57" s="162"/>
    </row>
    <row r="58" spans="1:13" ht="12" customHeight="1">
      <c r="A58" s="34" t="s">
        <v>97</v>
      </c>
      <c r="B58" s="34" t="s">
        <v>98</v>
      </c>
      <c r="C58" s="338">
        <v>700</v>
      </c>
      <c r="D58" s="341"/>
      <c r="E58" s="338">
        <v>300</v>
      </c>
      <c r="F58" s="340"/>
      <c r="G58" s="338"/>
      <c r="H58" s="340"/>
      <c r="I58" s="334">
        <f t="shared" si="14"/>
        <v>1000</v>
      </c>
      <c r="J58" s="335">
        <f t="shared" si="14"/>
        <v>0</v>
      </c>
      <c r="K58" s="159"/>
      <c r="L58" s="159"/>
      <c r="M58" s="162"/>
    </row>
    <row r="59" spans="1:13" ht="12" customHeight="1">
      <c r="A59" s="34" t="s">
        <v>99</v>
      </c>
      <c r="B59" s="34" t="s">
        <v>100</v>
      </c>
      <c r="C59" s="338">
        <v>3000</v>
      </c>
      <c r="D59" s="341"/>
      <c r="E59" s="338">
        <f>5*100</f>
        <v>500</v>
      </c>
      <c r="F59" s="341"/>
      <c r="G59" s="338">
        <f>3*200</f>
        <v>600</v>
      </c>
      <c r="H59" s="341"/>
      <c r="I59" s="334">
        <f t="shared" si="14"/>
        <v>4100</v>
      </c>
      <c r="J59" s="335">
        <f t="shared" si="14"/>
        <v>0</v>
      </c>
      <c r="K59" s="159"/>
      <c r="L59" s="159"/>
      <c r="M59" s="162"/>
    </row>
    <row r="60" spans="1:13" ht="12" customHeight="1">
      <c r="A60" s="34" t="s">
        <v>101</v>
      </c>
      <c r="B60" s="34" t="s">
        <v>102</v>
      </c>
      <c r="C60" s="338">
        <v>3000</v>
      </c>
      <c r="D60" s="340"/>
      <c r="E60" s="338">
        <f>5*100</f>
        <v>500</v>
      </c>
      <c r="F60" s="340"/>
      <c r="G60" s="338">
        <f>3*200</f>
        <v>600</v>
      </c>
      <c r="H60" s="340"/>
      <c r="I60" s="334">
        <f t="shared" si="14"/>
        <v>4100</v>
      </c>
      <c r="J60" s="335">
        <f t="shared" si="14"/>
        <v>0</v>
      </c>
      <c r="K60" s="159"/>
      <c r="L60" s="159"/>
      <c r="M60" s="162"/>
    </row>
    <row r="61" spans="1:13" ht="12" customHeight="1">
      <c r="A61" s="34" t="s">
        <v>103</v>
      </c>
      <c r="B61" s="34" t="s">
        <v>104</v>
      </c>
      <c r="C61" s="338">
        <v>0</v>
      </c>
      <c r="D61" s="340"/>
      <c r="E61" s="338"/>
      <c r="F61" s="340"/>
      <c r="G61" s="338"/>
      <c r="H61" s="340"/>
      <c r="I61" s="334">
        <f t="shared" si="14"/>
        <v>0</v>
      </c>
      <c r="J61" s="335">
        <f t="shared" si="14"/>
        <v>0</v>
      </c>
      <c r="K61" s="159"/>
      <c r="L61" s="159"/>
      <c r="M61" s="162"/>
    </row>
    <row r="62" spans="1:13" ht="12" customHeight="1">
      <c r="A62" s="34" t="s">
        <v>105</v>
      </c>
      <c r="B62" s="34" t="s">
        <v>438</v>
      </c>
      <c r="C62" s="338">
        <v>700</v>
      </c>
      <c r="D62" s="341"/>
      <c r="E62" s="338">
        <v>300</v>
      </c>
      <c r="F62" s="341"/>
      <c r="G62" s="338">
        <f>2*200</f>
        <v>400</v>
      </c>
      <c r="H62" s="340"/>
      <c r="I62" s="334">
        <f t="shared" si="14"/>
        <v>1400</v>
      </c>
      <c r="J62" s="335">
        <f t="shared" si="14"/>
        <v>0</v>
      </c>
      <c r="K62" s="159"/>
      <c r="L62" s="159"/>
      <c r="M62" s="162"/>
    </row>
    <row r="63" spans="1:13" ht="12" customHeight="1">
      <c r="A63" s="34" t="s">
        <v>107</v>
      </c>
      <c r="B63" s="34" t="s">
        <v>108</v>
      </c>
      <c r="C63" s="338"/>
      <c r="D63" s="341"/>
      <c r="E63" s="338"/>
      <c r="F63" s="340"/>
      <c r="G63" s="338"/>
      <c r="H63" s="340"/>
      <c r="I63" s="334">
        <f t="shared" si="14"/>
        <v>0</v>
      </c>
      <c r="J63" s="335">
        <f t="shared" si="14"/>
        <v>0</v>
      </c>
      <c r="K63" s="159"/>
      <c r="L63" s="159"/>
      <c r="M63" s="162"/>
    </row>
    <row r="64" spans="1:13" ht="12" customHeight="1">
      <c r="A64" s="34" t="s">
        <v>109</v>
      </c>
      <c r="B64" s="34" t="s">
        <v>110</v>
      </c>
      <c r="C64" s="338">
        <v>2500</v>
      </c>
      <c r="D64" s="340"/>
      <c r="E64" s="338"/>
      <c r="F64" s="340"/>
      <c r="G64" s="338"/>
      <c r="H64" s="340"/>
      <c r="I64" s="334">
        <f t="shared" si="14"/>
        <v>2500</v>
      </c>
      <c r="J64" s="335">
        <f t="shared" si="14"/>
        <v>0</v>
      </c>
      <c r="K64" s="159" t="s">
        <v>424</v>
      </c>
      <c r="L64" s="159"/>
      <c r="M64" s="162"/>
    </row>
    <row r="65" spans="1:13" ht="12" customHeight="1">
      <c r="A65" s="34" t="s">
        <v>147</v>
      </c>
      <c r="B65" s="34" t="s">
        <v>113</v>
      </c>
      <c r="C65" s="338">
        <v>0</v>
      </c>
      <c r="D65" s="341"/>
      <c r="E65" s="338"/>
      <c r="F65" s="340"/>
      <c r="G65" s="338"/>
      <c r="H65" s="340"/>
      <c r="I65" s="334">
        <f t="shared" si="14"/>
        <v>0</v>
      </c>
      <c r="J65" s="335">
        <f t="shared" si="14"/>
        <v>0</v>
      </c>
      <c r="K65" s="159"/>
      <c r="L65" s="159"/>
      <c r="M65" s="162"/>
    </row>
    <row r="66" spans="1:13" ht="12" customHeight="1">
      <c r="A66" s="34" t="s">
        <v>114</v>
      </c>
      <c r="B66" s="34" t="s">
        <v>115</v>
      </c>
      <c r="C66" s="338"/>
      <c r="D66" s="341"/>
      <c r="E66" s="338"/>
      <c r="F66" s="340"/>
      <c r="G66" s="338"/>
      <c r="H66" s="340"/>
      <c r="I66" s="334">
        <f t="shared" si="14"/>
        <v>0</v>
      </c>
      <c r="J66" s="335">
        <f t="shared" si="14"/>
        <v>0</v>
      </c>
      <c r="K66" s="159"/>
      <c r="L66" s="159"/>
      <c r="M66" s="162"/>
    </row>
    <row r="67" spans="1:13" ht="12" customHeight="1">
      <c r="A67" s="34"/>
      <c r="B67" s="34" t="s">
        <v>441</v>
      </c>
      <c r="C67" s="338">
        <v>4000</v>
      </c>
      <c r="D67" s="341"/>
      <c r="E67" s="338"/>
      <c r="F67" s="340"/>
      <c r="G67" s="338">
        <v>1000</v>
      </c>
      <c r="H67" s="340"/>
      <c r="I67" s="334">
        <f t="shared" si="14"/>
        <v>5000</v>
      </c>
      <c r="J67" s="335"/>
      <c r="K67" s="159"/>
      <c r="L67" s="159"/>
      <c r="M67" s="162"/>
    </row>
    <row r="68" spans="1:13" ht="12" customHeight="1" thickBot="1">
      <c r="A68" s="34"/>
      <c r="B68" s="313" t="s">
        <v>420</v>
      </c>
      <c r="C68" s="316">
        <f>500*C209</f>
        <v>2000</v>
      </c>
      <c r="D68" s="342"/>
      <c r="E68" s="316"/>
      <c r="F68" s="342"/>
      <c r="G68" s="316"/>
      <c r="H68" s="342"/>
      <c r="I68" s="334">
        <f t="shared" si="14"/>
        <v>2000</v>
      </c>
      <c r="J68" s="490">
        <f t="shared" si="14"/>
        <v>0</v>
      </c>
      <c r="K68" s="159"/>
      <c r="L68" s="343"/>
      <c r="M68" s="344"/>
    </row>
    <row r="69" spans="1:16" ht="12" customHeight="1" thickBot="1">
      <c r="A69" s="345"/>
      <c r="B69" s="346"/>
      <c r="C69" s="346">
        <f>SUM(C53:C68)</f>
        <v>35900</v>
      </c>
      <c r="D69" s="347"/>
      <c r="E69" s="346">
        <f>SUM(E53:E68)</f>
        <v>3000</v>
      </c>
      <c r="F69" s="347"/>
      <c r="G69" s="346">
        <f>SUM(G53:G68)</f>
        <v>4200</v>
      </c>
      <c r="H69" s="347"/>
      <c r="I69" s="348">
        <f>SUM(I51:I68)</f>
        <v>49350</v>
      </c>
      <c r="J69" s="486">
        <f>SUM(J50:J68)</f>
        <v>0</v>
      </c>
      <c r="K69" s="350"/>
      <c r="L69" s="350"/>
      <c r="M69" s="351"/>
      <c r="N69" s="352"/>
      <c r="O69" s="352"/>
      <c r="P69" s="353"/>
    </row>
    <row r="71" spans="10:13" ht="12" customHeight="1" thickBot="1">
      <c r="J71" s="318"/>
      <c r="K71" s="318"/>
      <c r="L71" s="318"/>
      <c r="M71" s="318"/>
    </row>
    <row r="72" spans="1:12" ht="12" customHeight="1" thickBot="1">
      <c r="A72" s="133" t="s">
        <v>78</v>
      </c>
      <c r="B72" s="134" t="s">
        <v>117</v>
      </c>
      <c r="C72" s="21" t="s">
        <v>8</v>
      </c>
      <c r="D72" s="22"/>
      <c r="E72" s="328" t="s">
        <v>86</v>
      </c>
      <c r="F72" s="328"/>
      <c r="G72" s="328"/>
      <c r="H72" s="324"/>
      <c r="I72" s="354"/>
      <c r="J72" s="354"/>
      <c r="K72" s="354"/>
      <c r="L72" s="354"/>
    </row>
    <row r="73" spans="1:12" ht="12" customHeight="1">
      <c r="A73" s="137"/>
      <c r="B73" s="33" t="s">
        <v>118</v>
      </c>
      <c r="C73" s="138">
        <f>G16</f>
        <v>35783.888</v>
      </c>
      <c r="D73" s="139"/>
      <c r="E73" s="355"/>
      <c r="F73" s="355"/>
      <c r="G73" s="355"/>
      <c r="H73" s="356"/>
      <c r="I73" s="343"/>
      <c r="J73" s="343"/>
      <c r="K73" s="343"/>
      <c r="L73" s="318"/>
    </row>
    <row r="74" spans="1:12" ht="12" customHeight="1">
      <c r="A74" s="137"/>
      <c r="B74" s="33" t="s">
        <v>119</v>
      </c>
      <c r="C74" s="145">
        <f>G24</f>
        <v>21429.53</v>
      </c>
      <c r="D74" s="146"/>
      <c r="E74" s="343"/>
      <c r="F74" s="343"/>
      <c r="G74" s="343"/>
      <c r="H74" s="344"/>
      <c r="I74" s="343"/>
      <c r="J74" s="343"/>
      <c r="K74" s="343"/>
      <c r="L74" s="318"/>
    </row>
    <row r="75" spans="1:12" ht="12" customHeight="1">
      <c r="A75" s="137"/>
      <c r="B75" s="33" t="s">
        <v>120</v>
      </c>
      <c r="C75" s="145">
        <f>G31</f>
        <v>13648.8</v>
      </c>
      <c r="D75" s="146"/>
      <c r="E75" s="343"/>
      <c r="F75" s="343"/>
      <c r="G75" s="343"/>
      <c r="H75" s="344"/>
      <c r="I75" s="343"/>
      <c r="J75" s="343"/>
      <c r="K75" s="343"/>
      <c r="L75" s="318"/>
    </row>
    <row r="76" spans="1:12" ht="12" customHeight="1">
      <c r="A76" s="137"/>
      <c r="B76" s="33" t="s">
        <v>121</v>
      </c>
      <c r="C76" s="145">
        <f>G39</f>
        <v>9900</v>
      </c>
      <c r="D76" s="146"/>
      <c r="E76" s="343"/>
      <c r="F76" s="343"/>
      <c r="G76" s="343"/>
      <c r="H76" s="344"/>
      <c r="I76" s="343"/>
      <c r="J76" s="343"/>
      <c r="K76" s="343"/>
      <c r="L76" s="318"/>
    </row>
    <row r="77" spans="1:12" ht="12" customHeight="1">
      <c r="A77" s="137"/>
      <c r="B77" s="41" t="s">
        <v>122</v>
      </c>
      <c r="C77" s="145">
        <f>I69</f>
        <v>49350</v>
      </c>
      <c r="D77" s="146"/>
      <c r="E77" s="343"/>
      <c r="F77" s="343"/>
      <c r="G77" s="343"/>
      <c r="H77" s="344"/>
      <c r="I77" s="343"/>
      <c r="J77" s="343"/>
      <c r="K77" s="343"/>
      <c r="L77" s="318"/>
    </row>
    <row r="78" spans="1:12" ht="12" customHeight="1">
      <c r="A78" s="137"/>
      <c r="B78" s="41" t="s">
        <v>123</v>
      </c>
      <c r="C78" s="145">
        <f>G45</f>
        <v>1263.3600000000001</v>
      </c>
      <c r="D78" s="146"/>
      <c r="E78" s="343"/>
      <c r="F78" s="343"/>
      <c r="G78" s="343"/>
      <c r="H78" s="344"/>
      <c r="I78" s="343"/>
      <c r="J78" s="343"/>
      <c r="K78" s="343"/>
      <c r="L78" s="318"/>
    </row>
    <row r="79" spans="1:12" ht="12" customHeight="1">
      <c r="A79" s="137" t="s">
        <v>285</v>
      </c>
      <c r="B79" s="78" t="s">
        <v>346</v>
      </c>
      <c r="C79" s="145">
        <v>7000</v>
      </c>
      <c r="D79" s="146"/>
      <c r="E79" s="159"/>
      <c r="F79" s="343"/>
      <c r="G79" s="343"/>
      <c r="H79" s="344"/>
      <c r="I79" s="343"/>
      <c r="J79" s="343"/>
      <c r="K79" s="343"/>
      <c r="L79" s="318"/>
    </row>
    <row r="80" spans="1:12" ht="12" customHeight="1">
      <c r="A80" s="137" t="s">
        <v>345</v>
      </c>
      <c r="B80" s="78" t="s">
        <v>347</v>
      </c>
      <c r="C80" s="145"/>
      <c r="D80" s="146"/>
      <c r="E80" s="159"/>
      <c r="F80" s="343"/>
      <c r="G80" s="343"/>
      <c r="H80" s="344"/>
      <c r="I80" s="343"/>
      <c r="J80" s="343"/>
      <c r="K80" s="343"/>
      <c r="L80" s="318"/>
    </row>
    <row r="81" spans="1:12" ht="12" customHeight="1">
      <c r="A81" s="137" t="s">
        <v>286</v>
      </c>
      <c r="B81" s="78" t="s">
        <v>348</v>
      </c>
      <c r="D81" s="146"/>
      <c r="E81" s="343"/>
      <c r="F81" s="343"/>
      <c r="G81" s="343"/>
      <c r="H81" s="344"/>
      <c r="I81" s="343"/>
      <c r="J81" s="343"/>
      <c r="K81" s="343"/>
      <c r="L81" s="318"/>
    </row>
    <row r="82" spans="1:12" ht="12" customHeight="1">
      <c r="A82" s="137" t="s">
        <v>344</v>
      </c>
      <c r="B82" s="78" t="s">
        <v>349</v>
      </c>
      <c r="D82" s="146"/>
      <c r="E82" s="343"/>
      <c r="F82" s="343"/>
      <c r="G82" s="343"/>
      <c r="H82" s="344"/>
      <c r="I82" s="343"/>
      <c r="J82" s="343"/>
      <c r="K82" s="343"/>
      <c r="L82" s="318"/>
    </row>
    <row r="83" spans="1:12" ht="12" customHeight="1">
      <c r="A83" s="137"/>
      <c r="B83" s="78"/>
      <c r="C83" s="145"/>
      <c r="D83" s="146"/>
      <c r="E83" s="343"/>
      <c r="F83" s="343"/>
      <c r="G83" s="343"/>
      <c r="H83" s="344"/>
      <c r="I83" s="343"/>
      <c r="J83" s="343"/>
      <c r="K83" s="343"/>
      <c r="L83" s="318"/>
    </row>
    <row r="84" spans="1:12" ht="12" customHeight="1">
      <c r="A84" s="137" t="s">
        <v>287</v>
      </c>
      <c r="B84" s="78" t="s">
        <v>124</v>
      </c>
      <c r="C84" s="145">
        <v>2000</v>
      </c>
      <c r="D84" s="146"/>
      <c r="E84" s="343"/>
      <c r="F84" s="343"/>
      <c r="G84" s="343"/>
      <c r="H84" s="344"/>
      <c r="I84" s="343"/>
      <c r="J84" s="343"/>
      <c r="K84" s="343"/>
      <c r="L84" s="318"/>
    </row>
    <row r="85" spans="1:12" ht="12" customHeight="1">
      <c r="A85" s="137" t="s">
        <v>288</v>
      </c>
      <c r="B85" s="78" t="s">
        <v>125</v>
      </c>
      <c r="C85" s="145"/>
      <c r="D85" s="146"/>
      <c r="E85" s="343"/>
      <c r="F85" s="343"/>
      <c r="G85" s="343"/>
      <c r="H85" s="344"/>
      <c r="I85" s="343"/>
      <c r="J85" s="343"/>
      <c r="K85" s="343"/>
      <c r="L85" s="318"/>
    </row>
    <row r="86" spans="1:12" ht="12" customHeight="1">
      <c r="A86" s="137" t="s">
        <v>289</v>
      </c>
      <c r="B86" s="78" t="s">
        <v>126</v>
      </c>
      <c r="C86" s="145"/>
      <c r="D86" s="146"/>
      <c r="E86" s="343"/>
      <c r="F86" s="343"/>
      <c r="G86" s="343"/>
      <c r="H86" s="344"/>
      <c r="I86" s="343"/>
      <c r="J86" s="343"/>
      <c r="K86" s="343"/>
      <c r="L86" s="318"/>
    </row>
    <row r="87" spans="1:12" ht="12" customHeight="1">
      <c r="A87" s="137" t="s">
        <v>290</v>
      </c>
      <c r="B87" s="78" t="s">
        <v>127</v>
      </c>
      <c r="C87" s="145"/>
      <c r="D87" s="146"/>
      <c r="E87" s="343"/>
      <c r="F87" s="343"/>
      <c r="G87" s="343"/>
      <c r="H87" s="344"/>
      <c r="I87" s="343"/>
      <c r="J87" s="343"/>
      <c r="K87" s="343"/>
      <c r="L87" s="318"/>
    </row>
    <row r="88" spans="1:12" ht="12" customHeight="1">
      <c r="A88" s="137" t="s">
        <v>406</v>
      </c>
      <c r="B88" s="78"/>
      <c r="C88" s="145"/>
      <c r="D88" s="146"/>
      <c r="E88" s="343"/>
      <c r="F88" s="343"/>
      <c r="G88" s="343"/>
      <c r="H88" s="344"/>
      <c r="I88" s="343"/>
      <c r="J88" s="343"/>
      <c r="K88" s="343"/>
      <c r="L88" s="318"/>
    </row>
    <row r="89" spans="1:12" ht="12" customHeight="1">
      <c r="A89" s="137" t="s">
        <v>304</v>
      </c>
      <c r="B89" s="78" t="s">
        <v>305</v>
      </c>
      <c r="C89" s="145"/>
      <c r="D89" s="146"/>
      <c r="E89" s="343"/>
      <c r="F89" s="343"/>
      <c r="G89" s="343"/>
      <c r="H89" s="344"/>
      <c r="I89" s="343"/>
      <c r="J89" s="343"/>
      <c r="K89" s="343"/>
      <c r="L89" s="318"/>
    </row>
    <row r="90" spans="1:12" ht="12" customHeight="1">
      <c r="A90" s="137" t="s">
        <v>309</v>
      </c>
      <c r="B90" s="78" t="s">
        <v>306</v>
      </c>
      <c r="C90" s="145"/>
      <c r="D90" s="146"/>
      <c r="E90" s="343"/>
      <c r="F90" s="343"/>
      <c r="G90" s="343"/>
      <c r="H90" s="344"/>
      <c r="I90" s="343"/>
      <c r="J90" s="343"/>
      <c r="K90" s="343"/>
      <c r="L90" s="318"/>
    </row>
    <row r="91" spans="1:12" ht="12" customHeight="1">
      <c r="A91" s="137" t="s">
        <v>310</v>
      </c>
      <c r="B91" s="78" t="s">
        <v>307</v>
      </c>
      <c r="C91" s="145"/>
      <c r="D91" s="146"/>
      <c r="E91" s="343"/>
      <c r="F91" s="343"/>
      <c r="G91" s="343"/>
      <c r="H91" s="344"/>
      <c r="I91" s="343"/>
      <c r="J91" s="343"/>
      <c r="K91" s="343"/>
      <c r="L91" s="318"/>
    </row>
    <row r="92" spans="1:12" ht="12" customHeight="1">
      <c r="A92" s="137" t="s">
        <v>311</v>
      </c>
      <c r="B92" s="148" t="s">
        <v>308</v>
      </c>
      <c r="C92" s="145"/>
      <c r="D92" s="146"/>
      <c r="E92" s="149"/>
      <c r="F92" s="149"/>
      <c r="G92" s="149"/>
      <c r="H92" s="150"/>
      <c r="I92" s="343"/>
      <c r="J92" s="343"/>
      <c r="K92" s="343"/>
      <c r="L92" s="318"/>
    </row>
    <row r="93" spans="1:12" ht="12" customHeight="1">
      <c r="A93" s="137"/>
      <c r="C93" s="145"/>
      <c r="D93" s="146"/>
      <c r="E93" s="343"/>
      <c r="F93" s="343"/>
      <c r="G93" s="343"/>
      <c r="H93" s="344"/>
      <c r="I93" s="343"/>
      <c r="J93" s="343"/>
      <c r="K93" s="343"/>
      <c r="L93" s="318"/>
    </row>
    <row r="94" spans="1:12" ht="12" customHeight="1">
      <c r="A94" s="137" t="s">
        <v>312</v>
      </c>
      <c r="B94" s="78" t="s">
        <v>128</v>
      </c>
      <c r="C94" s="145">
        <v>1000</v>
      </c>
      <c r="D94" s="146"/>
      <c r="E94" s="343"/>
      <c r="F94" s="343"/>
      <c r="G94" s="343"/>
      <c r="H94" s="344"/>
      <c r="I94" s="343"/>
      <c r="J94" s="343"/>
      <c r="K94" s="343"/>
      <c r="L94" s="318"/>
    </row>
    <row r="95" spans="1:12" ht="12" customHeight="1">
      <c r="A95" s="137" t="s">
        <v>313</v>
      </c>
      <c r="B95" s="78" t="s">
        <v>129</v>
      </c>
      <c r="C95" s="145"/>
      <c r="D95" s="146"/>
      <c r="E95" s="343"/>
      <c r="F95" s="343"/>
      <c r="G95" s="343"/>
      <c r="H95" s="344"/>
      <c r="I95" s="343"/>
      <c r="J95" s="343"/>
      <c r="K95" s="343"/>
      <c r="L95" s="318"/>
    </row>
    <row r="96" spans="1:12" ht="12" customHeight="1">
      <c r="A96" s="137" t="s">
        <v>314</v>
      </c>
      <c r="B96" s="78" t="s">
        <v>291</v>
      </c>
      <c r="C96" s="145"/>
      <c r="D96" s="146"/>
      <c r="E96" s="343"/>
      <c r="F96" s="343"/>
      <c r="G96" s="343"/>
      <c r="H96" s="344"/>
      <c r="I96" s="343"/>
      <c r="J96" s="343"/>
      <c r="K96" s="343"/>
      <c r="L96" s="318"/>
    </row>
    <row r="97" spans="1:12" ht="12" customHeight="1">
      <c r="A97" s="137" t="s">
        <v>315</v>
      </c>
      <c r="B97" s="148" t="s">
        <v>296</v>
      </c>
      <c r="C97" s="145"/>
      <c r="D97" s="146"/>
      <c r="E97" s="149"/>
      <c r="F97" s="149"/>
      <c r="G97" s="149"/>
      <c r="H97" s="150"/>
      <c r="I97" s="343"/>
      <c r="J97" s="343"/>
      <c r="K97" s="343"/>
      <c r="L97" s="318"/>
    </row>
    <row r="98" spans="1:12" ht="12" customHeight="1">
      <c r="A98" s="137"/>
      <c r="C98" s="151"/>
      <c r="D98" s="152"/>
      <c r="E98" s="343"/>
      <c r="F98" s="343"/>
      <c r="G98" s="343"/>
      <c r="H98" s="344"/>
      <c r="I98" s="343"/>
      <c r="J98" s="343"/>
      <c r="K98" s="343"/>
      <c r="L98" s="318"/>
    </row>
    <row r="99" spans="1:12" ht="12" customHeight="1">
      <c r="A99" s="137" t="s">
        <v>316</v>
      </c>
      <c r="B99" s="78" t="s">
        <v>292</v>
      </c>
      <c r="C99" s="151">
        <v>6000</v>
      </c>
      <c r="D99" s="152"/>
      <c r="E99" s="343"/>
      <c r="F99" s="343"/>
      <c r="G99" s="343"/>
      <c r="H99" s="344"/>
      <c r="I99" s="343"/>
      <c r="J99" s="343"/>
      <c r="K99" s="343"/>
      <c r="L99" s="318"/>
    </row>
    <row r="100" spans="1:12" ht="12" customHeight="1">
      <c r="A100" s="137" t="s">
        <v>317</v>
      </c>
      <c r="B100" s="78" t="s">
        <v>293</v>
      </c>
      <c r="C100" s="151"/>
      <c r="D100" s="152"/>
      <c r="E100" s="343"/>
      <c r="F100" s="343"/>
      <c r="G100" s="343"/>
      <c r="H100" s="344"/>
      <c r="I100" s="343"/>
      <c r="J100" s="343"/>
      <c r="K100" s="343"/>
      <c r="L100" s="318"/>
    </row>
    <row r="101" spans="1:12" ht="12" customHeight="1">
      <c r="A101" s="137" t="s">
        <v>280</v>
      </c>
      <c r="B101" s="78" t="s">
        <v>294</v>
      </c>
      <c r="C101" s="151"/>
      <c r="D101" s="152"/>
      <c r="E101" s="343"/>
      <c r="F101" s="343"/>
      <c r="G101" s="343"/>
      <c r="H101" s="344"/>
      <c r="I101" s="343"/>
      <c r="J101" s="343"/>
      <c r="K101" s="343"/>
      <c r="L101" s="318"/>
    </row>
    <row r="102" spans="1:12" ht="12" customHeight="1">
      <c r="A102" s="137" t="s">
        <v>318</v>
      </c>
      <c r="B102" s="148" t="s">
        <v>297</v>
      </c>
      <c r="C102" s="145"/>
      <c r="D102" s="146"/>
      <c r="E102" s="149"/>
      <c r="F102" s="149"/>
      <c r="G102" s="149"/>
      <c r="H102" s="150"/>
      <c r="I102" s="343"/>
      <c r="J102" s="343"/>
      <c r="K102" s="343"/>
      <c r="L102" s="318"/>
    </row>
    <row r="103" spans="1:12" ht="12" customHeight="1">
      <c r="A103" s="137"/>
      <c r="C103" s="151"/>
      <c r="D103" s="152"/>
      <c r="E103" s="343"/>
      <c r="F103" s="343"/>
      <c r="G103" s="343"/>
      <c r="H103" s="344"/>
      <c r="I103" s="343"/>
      <c r="J103" s="343"/>
      <c r="K103" s="343"/>
      <c r="L103" s="318"/>
    </row>
    <row r="104" spans="1:12" ht="12" customHeight="1">
      <c r="A104" s="137" t="s">
        <v>319</v>
      </c>
      <c r="B104" s="78" t="s">
        <v>130</v>
      </c>
      <c r="C104" s="151"/>
      <c r="D104" s="152"/>
      <c r="E104" s="343"/>
      <c r="F104" s="343"/>
      <c r="G104" s="343"/>
      <c r="H104" s="344"/>
      <c r="I104" s="343"/>
      <c r="J104" s="343"/>
      <c r="K104" s="343"/>
      <c r="L104" s="318"/>
    </row>
    <row r="105" spans="1:12" ht="12" customHeight="1">
      <c r="A105" s="137" t="s">
        <v>320</v>
      </c>
      <c r="B105" s="78" t="s">
        <v>131</v>
      </c>
      <c r="C105" s="151"/>
      <c r="D105" s="152"/>
      <c r="E105" s="343"/>
      <c r="F105" s="343"/>
      <c r="G105" s="343"/>
      <c r="H105" s="344"/>
      <c r="I105" s="343"/>
      <c r="J105" s="343"/>
      <c r="K105" s="343"/>
      <c r="L105" s="318"/>
    </row>
    <row r="106" spans="1:12" ht="12" customHeight="1">
      <c r="A106" s="137" t="s">
        <v>281</v>
      </c>
      <c r="B106" s="78" t="s">
        <v>295</v>
      </c>
      <c r="C106" s="151"/>
      <c r="D106" s="152"/>
      <c r="E106" s="343"/>
      <c r="F106" s="343"/>
      <c r="G106" s="343"/>
      <c r="H106" s="344"/>
      <c r="I106" s="343"/>
      <c r="J106" s="343"/>
      <c r="K106" s="343"/>
      <c r="L106" s="318"/>
    </row>
    <row r="107" spans="1:12" ht="12" customHeight="1">
      <c r="A107" s="137" t="s">
        <v>321</v>
      </c>
      <c r="B107" s="148" t="s">
        <v>298</v>
      </c>
      <c r="C107" s="145"/>
      <c r="D107" s="146"/>
      <c r="E107" s="149"/>
      <c r="F107" s="149"/>
      <c r="G107" s="149"/>
      <c r="H107" s="150"/>
      <c r="I107" s="343"/>
      <c r="J107" s="343"/>
      <c r="K107" s="343"/>
      <c r="L107" s="318"/>
    </row>
    <row r="108" spans="1:12" ht="12" customHeight="1">
      <c r="A108" s="137"/>
      <c r="B108" s="78"/>
      <c r="C108" s="151"/>
      <c r="D108" s="152"/>
      <c r="E108" s="343"/>
      <c r="F108" s="343"/>
      <c r="G108" s="343"/>
      <c r="H108" s="344"/>
      <c r="I108" s="343"/>
      <c r="J108" s="343"/>
      <c r="K108" s="343"/>
      <c r="L108" s="318"/>
    </row>
    <row r="109" spans="1:12" ht="12" customHeight="1">
      <c r="A109" s="137" t="s">
        <v>322</v>
      </c>
      <c r="B109" s="78" t="s">
        <v>300</v>
      </c>
      <c r="C109" s="151">
        <v>1000</v>
      </c>
      <c r="D109" s="152"/>
      <c r="E109" s="343"/>
      <c r="F109" s="343"/>
      <c r="G109" s="343"/>
      <c r="H109" s="344"/>
      <c r="I109" s="343"/>
      <c r="J109" s="343"/>
      <c r="K109" s="343"/>
      <c r="L109" s="318"/>
    </row>
    <row r="110" spans="1:12" ht="12" customHeight="1">
      <c r="A110" s="137" t="s">
        <v>323</v>
      </c>
      <c r="B110" s="78" t="s">
        <v>132</v>
      </c>
      <c r="C110" s="151"/>
      <c r="D110" s="152"/>
      <c r="E110" s="343"/>
      <c r="F110" s="343"/>
      <c r="G110" s="343"/>
      <c r="H110" s="344"/>
      <c r="I110" s="343"/>
      <c r="J110" s="343"/>
      <c r="K110" s="343"/>
      <c r="L110" s="318"/>
    </row>
    <row r="111" spans="1:12" ht="12" customHeight="1">
      <c r="A111" s="137" t="s">
        <v>324</v>
      </c>
      <c r="B111" s="78" t="s">
        <v>301</v>
      </c>
      <c r="C111" s="151"/>
      <c r="D111" s="152"/>
      <c r="E111" s="343"/>
      <c r="F111" s="343"/>
      <c r="G111" s="343"/>
      <c r="H111" s="344"/>
      <c r="I111" s="343"/>
      <c r="J111" s="343"/>
      <c r="K111" s="343"/>
      <c r="L111" s="318"/>
    </row>
    <row r="112" spans="1:12" ht="12" customHeight="1">
      <c r="A112" s="137" t="s">
        <v>325</v>
      </c>
      <c r="B112" s="148" t="s">
        <v>299</v>
      </c>
      <c r="C112" s="145"/>
      <c r="D112" s="146"/>
      <c r="E112" s="149"/>
      <c r="F112" s="149"/>
      <c r="G112" s="149"/>
      <c r="H112" s="150"/>
      <c r="I112" s="343"/>
      <c r="J112" s="343"/>
      <c r="K112" s="343"/>
      <c r="L112" s="318"/>
    </row>
    <row r="113" spans="1:12" ht="12" customHeight="1">
      <c r="A113" s="137" t="s">
        <v>326</v>
      </c>
      <c r="B113" s="78" t="s">
        <v>133</v>
      </c>
      <c r="C113" s="151"/>
      <c r="D113" s="152"/>
      <c r="E113" s="343"/>
      <c r="F113" s="343"/>
      <c r="G113" s="343"/>
      <c r="H113" s="344"/>
      <c r="I113" s="343"/>
      <c r="J113" s="343"/>
      <c r="K113" s="343"/>
      <c r="L113" s="318"/>
    </row>
    <row r="114" spans="1:12" ht="12" customHeight="1">
      <c r="A114" s="137" t="s">
        <v>327</v>
      </c>
      <c r="B114" s="154" t="s">
        <v>134</v>
      </c>
      <c r="C114" s="151"/>
      <c r="D114" s="152"/>
      <c r="E114" s="343"/>
      <c r="F114" s="343"/>
      <c r="G114" s="343"/>
      <c r="H114" s="344"/>
      <c r="I114" s="343"/>
      <c r="J114" s="343"/>
      <c r="K114" s="343"/>
      <c r="L114" s="318"/>
    </row>
    <row r="115" spans="1:12" ht="12" customHeight="1">
      <c r="A115" s="137"/>
      <c r="C115" s="151"/>
      <c r="D115" s="152"/>
      <c r="E115" s="343"/>
      <c r="F115" s="343"/>
      <c r="G115" s="343"/>
      <c r="H115" s="344"/>
      <c r="I115" s="343"/>
      <c r="J115" s="343"/>
      <c r="K115" s="343"/>
      <c r="L115" s="318"/>
    </row>
    <row r="116" spans="1:12" ht="12" customHeight="1">
      <c r="A116" s="137" t="s">
        <v>328</v>
      </c>
      <c r="B116" s="78" t="s">
        <v>135</v>
      </c>
      <c r="C116" s="151">
        <v>1000</v>
      </c>
      <c r="D116" s="152"/>
      <c r="E116" s="343"/>
      <c r="F116" s="343"/>
      <c r="G116" s="343"/>
      <c r="H116" s="344"/>
      <c r="I116" s="343"/>
      <c r="J116" s="343"/>
      <c r="K116" s="343"/>
      <c r="L116" s="318"/>
    </row>
    <row r="117" spans="1:12" ht="12" customHeight="1">
      <c r="A117" s="137" t="s">
        <v>329</v>
      </c>
      <c r="B117" s="78" t="s">
        <v>136</v>
      </c>
      <c r="C117" s="151"/>
      <c r="D117" s="152"/>
      <c r="E117" s="343"/>
      <c r="F117" s="343"/>
      <c r="G117" s="343"/>
      <c r="H117" s="344"/>
      <c r="I117" s="343"/>
      <c r="J117" s="343"/>
      <c r="K117" s="343"/>
      <c r="L117" s="318"/>
    </row>
    <row r="118" spans="1:12" ht="12" customHeight="1">
      <c r="A118" s="137" t="s">
        <v>330</v>
      </c>
      <c r="B118" s="78" t="s">
        <v>302</v>
      </c>
      <c r="C118" s="151"/>
      <c r="D118" s="152"/>
      <c r="E118" s="343"/>
      <c r="F118" s="343"/>
      <c r="G118" s="343"/>
      <c r="H118" s="344"/>
      <c r="I118" s="343"/>
      <c r="J118" s="343"/>
      <c r="K118" s="343"/>
      <c r="L118" s="318"/>
    </row>
    <row r="119" spans="1:12" ht="12" customHeight="1">
      <c r="A119" s="137" t="s">
        <v>331</v>
      </c>
      <c r="B119" s="148" t="s">
        <v>303</v>
      </c>
      <c r="C119" s="145"/>
      <c r="D119" s="146"/>
      <c r="E119" s="149"/>
      <c r="F119" s="149"/>
      <c r="G119" s="149"/>
      <c r="H119" s="150"/>
      <c r="I119" s="343"/>
      <c r="J119" s="343"/>
      <c r="K119" s="343"/>
      <c r="L119" s="318"/>
    </row>
    <row r="120" spans="1:12" ht="12" customHeight="1">
      <c r="A120" s="147"/>
      <c r="B120" s="155" t="s">
        <v>137</v>
      </c>
      <c r="C120" s="156">
        <f>SUM(C79:D119)</f>
        <v>18000</v>
      </c>
      <c r="D120" s="157"/>
      <c r="E120" s="440" t="e">
        <f>SUM(#REF!)</f>
        <v>#REF!</v>
      </c>
      <c r="F120" s="149"/>
      <c r="G120" s="149"/>
      <c r="H120" s="150"/>
      <c r="I120" s="343"/>
      <c r="J120" s="343"/>
      <c r="K120" s="343"/>
      <c r="L120" s="318"/>
    </row>
    <row r="121" spans="1:12" ht="12" customHeight="1">
      <c r="A121" s="137"/>
      <c r="C121" s="151"/>
      <c r="D121" s="152"/>
      <c r="E121" s="343"/>
      <c r="F121" s="343"/>
      <c r="G121" s="343"/>
      <c r="H121" s="344"/>
      <c r="I121" s="343"/>
      <c r="J121" s="343"/>
      <c r="K121" s="343"/>
      <c r="L121" s="318"/>
    </row>
    <row r="122" spans="1:12" ht="12" customHeight="1">
      <c r="A122" s="158" t="s">
        <v>332</v>
      </c>
      <c r="B122" s="154" t="s">
        <v>138</v>
      </c>
      <c r="C122" s="151">
        <v>10000</v>
      </c>
      <c r="D122" s="152"/>
      <c r="E122" s="159"/>
      <c r="F122" s="343"/>
      <c r="G122" s="343"/>
      <c r="H122" s="344"/>
      <c r="I122" s="343"/>
      <c r="J122" s="343"/>
      <c r="K122" s="343"/>
      <c r="L122" s="318"/>
    </row>
    <row r="123" spans="1:12" ht="12" customHeight="1">
      <c r="A123" s="158" t="s">
        <v>333</v>
      </c>
      <c r="B123" s="154" t="s">
        <v>139</v>
      </c>
      <c r="C123" s="151">
        <v>10000</v>
      </c>
      <c r="D123" s="152"/>
      <c r="E123" s="159"/>
      <c r="F123" s="343"/>
      <c r="G123" s="343"/>
      <c r="H123" s="344"/>
      <c r="I123" s="343"/>
      <c r="J123" s="343"/>
      <c r="K123" s="343"/>
      <c r="L123" s="318"/>
    </row>
    <row r="124" spans="1:12" ht="12" customHeight="1">
      <c r="A124" s="137"/>
      <c r="B124" s="160" t="s">
        <v>427</v>
      </c>
      <c r="C124" s="151">
        <v>5000</v>
      </c>
      <c r="D124" s="152"/>
      <c r="E124" s="159"/>
      <c r="F124" s="343"/>
      <c r="G124" s="343"/>
      <c r="H124" s="344"/>
      <c r="I124" s="343"/>
      <c r="J124" s="343"/>
      <c r="K124" s="343"/>
      <c r="L124" s="318"/>
    </row>
    <row r="125" spans="1:12" ht="12" customHeight="1">
      <c r="A125" s="137" t="s">
        <v>334</v>
      </c>
      <c r="B125" s="161" t="s">
        <v>142</v>
      </c>
      <c r="C125" s="151">
        <v>1500</v>
      </c>
      <c r="D125" s="152"/>
      <c r="E125" s="159"/>
      <c r="F125" s="159"/>
      <c r="G125" s="159"/>
      <c r="H125" s="162"/>
      <c r="I125" s="343"/>
      <c r="J125" s="343"/>
      <c r="K125" s="343"/>
      <c r="L125" s="318"/>
    </row>
    <row r="126" spans="1:12" ht="12" customHeight="1">
      <c r="A126" s="439">
        <v>2065</v>
      </c>
      <c r="B126" s="161" t="s">
        <v>395</v>
      </c>
      <c r="C126" s="151"/>
      <c r="D126" s="152"/>
      <c r="E126" s="343"/>
      <c r="F126" s="343"/>
      <c r="G126" s="343"/>
      <c r="H126" s="344"/>
      <c r="I126" s="343"/>
      <c r="J126" s="343"/>
      <c r="K126" s="343"/>
      <c r="L126" s="318"/>
    </row>
    <row r="127" spans="1:12" ht="12" customHeight="1">
      <c r="A127" s="439">
        <v>2085</v>
      </c>
      <c r="B127" s="161" t="s">
        <v>407</v>
      </c>
      <c r="C127" s="151"/>
      <c r="D127" s="152"/>
      <c r="E127" s="343"/>
      <c r="F127" s="343"/>
      <c r="G127" s="343"/>
      <c r="H127" s="344"/>
      <c r="I127" s="343"/>
      <c r="J127" s="343"/>
      <c r="K127" s="343"/>
      <c r="L127" s="318"/>
    </row>
    <row r="128" spans="1:12" ht="12" customHeight="1">
      <c r="A128" s="160" t="s">
        <v>335</v>
      </c>
      <c r="B128" s="161" t="s">
        <v>143</v>
      </c>
      <c r="C128" s="151">
        <v>15000</v>
      </c>
      <c r="D128" s="152"/>
      <c r="E128" s="343"/>
      <c r="F128" s="343"/>
      <c r="G128" s="343"/>
      <c r="H128" s="344"/>
      <c r="I128" s="343"/>
      <c r="J128" s="343"/>
      <c r="K128" s="343"/>
      <c r="L128" s="318"/>
    </row>
    <row r="129" spans="1:12" ht="12" customHeight="1">
      <c r="A129" s="137" t="s">
        <v>336</v>
      </c>
      <c r="B129" s="161" t="s">
        <v>416</v>
      </c>
      <c r="C129" s="151">
        <v>2500</v>
      </c>
      <c r="D129" s="152"/>
      <c r="E129" s="343"/>
      <c r="F129" s="343"/>
      <c r="G129" s="343"/>
      <c r="H129" s="344"/>
      <c r="I129" s="343"/>
      <c r="J129" s="343"/>
      <c r="K129" s="343"/>
      <c r="L129" s="318"/>
    </row>
    <row r="130" spans="1:12" ht="12" customHeight="1">
      <c r="A130" s="137" t="s">
        <v>404</v>
      </c>
      <c r="B130" s="161" t="s">
        <v>405</v>
      </c>
      <c r="C130" s="151"/>
      <c r="D130" s="152"/>
      <c r="E130" s="343"/>
      <c r="F130" s="343"/>
      <c r="G130" s="343"/>
      <c r="H130" s="344"/>
      <c r="I130" s="343"/>
      <c r="J130" s="343"/>
      <c r="K130" s="343"/>
      <c r="L130" s="318"/>
    </row>
    <row r="131" spans="1:12" ht="12" customHeight="1">
      <c r="A131" s="137" t="s">
        <v>145</v>
      </c>
      <c r="B131" s="161" t="s">
        <v>146</v>
      </c>
      <c r="C131" s="151">
        <v>750</v>
      </c>
      <c r="D131" s="152"/>
      <c r="E131" s="159"/>
      <c r="F131" s="343"/>
      <c r="G131" s="343"/>
      <c r="H131" s="344"/>
      <c r="I131" s="343"/>
      <c r="J131" s="343"/>
      <c r="K131" s="343"/>
      <c r="L131" s="318"/>
    </row>
    <row r="132" spans="1:12" ht="12" customHeight="1">
      <c r="A132" s="137" t="s">
        <v>147</v>
      </c>
      <c r="B132" s="161" t="s">
        <v>148</v>
      </c>
      <c r="C132" s="151">
        <v>500</v>
      </c>
      <c r="D132" s="152"/>
      <c r="E132" s="343"/>
      <c r="F132" s="343"/>
      <c r="G132" s="343"/>
      <c r="H132" s="344"/>
      <c r="I132" s="343"/>
      <c r="J132" s="343"/>
      <c r="K132" s="343"/>
      <c r="L132" s="318"/>
    </row>
    <row r="133" spans="1:16" ht="12" customHeight="1">
      <c r="A133" s="448"/>
      <c r="B133" s="449" t="s">
        <v>432</v>
      </c>
      <c r="C133" s="450">
        <v>1500</v>
      </c>
      <c r="D133" s="451"/>
      <c r="E133" s="458"/>
      <c r="F133" s="458"/>
      <c r="G133" s="458"/>
      <c r="H133" s="459"/>
      <c r="I133" s="458"/>
      <c r="J133" s="458"/>
      <c r="K133" s="458"/>
      <c r="L133" s="460"/>
      <c r="M133" s="460"/>
      <c r="N133" s="460"/>
      <c r="O133" s="460"/>
      <c r="P133" s="460"/>
    </row>
    <row r="134" spans="1:12" ht="12" customHeight="1">
      <c r="A134" s="137" t="s">
        <v>338</v>
      </c>
      <c r="B134" s="161" t="s">
        <v>394</v>
      </c>
      <c r="C134" s="151">
        <v>2000</v>
      </c>
      <c r="D134" s="152"/>
      <c r="E134" s="343"/>
      <c r="F134" s="343"/>
      <c r="G134" s="343"/>
      <c r="H134" s="344"/>
      <c r="I134" s="343"/>
      <c r="J134" s="343"/>
      <c r="K134" s="343"/>
      <c r="L134" s="318"/>
    </row>
    <row r="135" spans="1:12" ht="12" customHeight="1">
      <c r="A135" s="137" t="s">
        <v>337</v>
      </c>
      <c r="B135" s="161" t="s">
        <v>150</v>
      </c>
      <c r="C135" s="151">
        <v>250</v>
      </c>
      <c r="D135" s="152"/>
      <c r="E135" s="343"/>
      <c r="F135" s="343"/>
      <c r="G135" s="343"/>
      <c r="H135" s="344"/>
      <c r="I135" s="343"/>
      <c r="J135" s="343"/>
      <c r="K135" s="343"/>
      <c r="L135" s="318"/>
    </row>
    <row r="136" spans="1:12" ht="12" customHeight="1">
      <c r="A136" s="147" t="s">
        <v>339</v>
      </c>
      <c r="B136" s="148" t="s">
        <v>151</v>
      </c>
      <c r="C136" s="145">
        <v>1000</v>
      </c>
      <c r="D136" s="146"/>
      <c r="E136" s="343"/>
      <c r="F136" s="343"/>
      <c r="G136" s="343"/>
      <c r="H136" s="344"/>
      <c r="I136" s="343"/>
      <c r="J136" s="343"/>
      <c r="K136" s="343"/>
      <c r="L136" s="318"/>
    </row>
    <row r="137" spans="1:12" ht="12" customHeight="1">
      <c r="A137" s="137" t="s">
        <v>340</v>
      </c>
      <c r="B137" s="161" t="s">
        <v>428</v>
      </c>
      <c r="C137" s="151">
        <v>1000</v>
      </c>
      <c r="D137" s="152"/>
      <c r="E137" s="159"/>
      <c r="F137" s="159"/>
      <c r="G137" s="159"/>
      <c r="H137" s="162"/>
      <c r="I137" s="343"/>
      <c r="J137" s="343"/>
      <c r="K137" s="343"/>
      <c r="L137" s="318"/>
    </row>
    <row r="138" spans="1:12" ht="12" customHeight="1">
      <c r="A138" s="137" t="s">
        <v>153</v>
      </c>
      <c r="B138" s="161" t="s">
        <v>154</v>
      </c>
      <c r="C138" s="151">
        <v>500</v>
      </c>
      <c r="D138" s="152"/>
      <c r="E138" s="159"/>
      <c r="F138" s="159"/>
      <c r="G138" s="159"/>
      <c r="H138" s="162"/>
      <c r="I138" s="343"/>
      <c r="J138" s="343"/>
      <c r="K138" s="343"/>
      <c r="L138" s="318"/>
    </row>
    <row r="139" spans="1:12" ht="12" customHeight="1" thickBot="1">
      <c r="A139" s="137" t="s">
        <v>341</v>
      </c>
      <c r="B139" s="161" t="s">
        <v>155</v>
      </c>
      <c r="C139" s="151">
        <v>500</v>
      </c>
      <c r="D139" s="152"/>
      <c r="E139" s="159"/>
      <c r="F139" s="159"/>
      <c r="G139" s="159"/>
      <c r="H139" s="162"/>
      <c r="I139" s="343"/>
      <c r="J139" s="343"/>
      <c r="K139" s="343"/>
      <c r="L139" s="318"/>
    </row>
    <row r="140" spans="1:12" ht="12" customHeight="1" thickBot="1">
      <c r="A140" s="357"/>
      <c r="B140" s="164"/>
      <c r="C140" s="165">
        <f>SUM(C73:D139)-C120</f>
        <v>201375.57799999998</v>
      </c>
      <c r="D140" s="164"/>
      <c r="E140" s="352"/>
      <c r="F140" s="352"/>
      <c r="G140" s="352"/>
      <c r="H140" s="353"/>
      <c r="I140" s="343"/>
      <c r="J140" s="343"/>
      <c r="K140" s="343"/>
      <c r="L140" s="318"/>
    </row>
    <row r="141" spans="2:7" s="318" customFormat="1" ht="12" customHeight="1" thickBot="1">
      <c r="B141" s="161"/>
      <c r="C141" s="167"/>
      <c r="D141" s="167"/>
      <c r="E141" s="26"/>
      <c r="F141" s="26"/>
      <c r="G141" s="26"/>
    </row>
    <row r="142" spans="1:12" ht="12" customHeight="1" thickBot="1">
      <c r="A142" s="133" t="s">
        <v>78</v>
      </c>
      <c r="B142" s="133" t="s">
        <v>156</v>
      </c>
      <c r="C142" s="133" t="s">
        <v>15</v>
      </c>
      <c r="D142" s="168" t="s">
        <v>157</v>
      </c>
      <c r="E142" s="328"/>
      <c r="F142" s="328"/>
      <c r="G142" s="328"/>
      <c r="H142" s="324"/>
      <c r="I142" s="354"/>
      <c r="J142" s="354"/>
      <c r="K142" s="354"/>
      <c r="L142" s="354"/>
    </row>
    <row r="143" spans="1:12" ht="12" customHeight="1">
      <c r="A143" s="137"/>
      <c r="B143" s="33"/>
      <c r="C143" s="170"/>
      <c r="D143" s="171"/>
      <c r="E143" s="354"/>
      <c r="F143" s="354"/>
      <c r="G143" s="354"/>
      <c r="H143" s="358"/>
      <c r="I143" s="354"/>
      <c r="J143" s="354"/>
      <c r="K143" s="354"/>
      <c r="L143" s="318"/>
    </row>
    <row r="144" spans="1:12" ht="12" customHeight="1">
      <c r="A144" s="137"/>
      <c r="B144" s="33" t="s">
        <v>118</v>
      </c>
      <c r="C144" s="174">
        <f>$I$16</f>
        <v>7732.777599999999</v>
      </c>
      <c r="D144" s="175">
        <f>$J$16</f>
        <v>28771.110399999998</v>
      </c>
      <c r="E144" s="354"/>
      <c r="F144" s="354"/>
      <c r="G144" s="354"/>
      <c r="H144" s="358"/>
      <c r="I144" s="343"/>
      <c r="J144" s="343"/>
      <c r="K144" s="343"/>
      <c r="L144" s="318"/>
    </row>
    <row r="145" spans="1:12" ht="12" customHeight="1">
      <c r="A145" s="137"/>
      <c r="B145" s="33" t="s">
        <v>119</v>
      </c>
      <c r="C145" s="174">
        <f>$I$24</f>
        <v>4645.906</v>
      </c>
      <c r="D145" s="175">
        <f>$J$24</f>
        <v>18583.624</v>
      </c>
      <c r="E145" s="354"/>
      <c r="F145" s="354"/>
      <c r="G145" s="354"/>
      <c r="H145" s="358"/>
      <c r="I145" s="343"/>
      <c r="J145" s="343"/>
      <c r="K145" s="343"/>
      <c r="L145" s="318"/>
    </row>
    <row r="146" spans="1:12" ht="12" customHeight="1">
      <c r="A146" s="137"/>
      <c r="B146" s="33" t="s">
        <v>120</v>
      </c>
      <c r="C146" s="174">
        <f>$I$31</f>
        <v>2729.76</v>
      </c>
      <c r="D146" s="175">
        <f>$J$31</f>
        <v>11228.8</v>
      </c>
      <c r="E146" s="354"/>
      <c r="F146" s="354"/>
      <c r="G146" s="354"/>
      <c r="H146" s="358"/>
      <c r="I146" s="343"/>
      <c r="J146" s="343"/>
      <c r="K146" s="343"/>
      <c r="L146" s="318"/>
    </row>
    <row r="147" spans="1:12" ht="12" customHeight="1">
      <c r="A147" s="137"/>
      <c r="B147" s="33" t="s">
        <v>121</v>
      </c>
      <c r="C147" s="174">
        <f>G39</f>
        <v>9900</v>
      </c>
      <c r="D147" s="175">
        <f>$J$39</f>
        <v>6000</v>
      </c>
      <c r="E147" s="354"/>
      <c r="F147" s="354"/>
      <c r="G147" s="354"/>
      <c r="H147" s="358"/>
      <c r="I147" s="343"/>
      <c r="J147" s="343"/>
      <c r="K147" s="343"/>
      <c r="L147" s="318"/>
    </row>
    <row r="148" spans="1:12" ht="12" customHeight="1">
      <c r="A148" s="137"/>
      <c r="B148" s="33" t="s">
        <v>123</v>
      </c>
      <c r="C148" s="174">
        <f>$I$45</f>
        <v>983.36</v>
      </c>
      <c r="D148" s="175">
        <f>$J$45</f>
        <v>3933.44</v>
      </c>
      <c r="E148" s="354"/>
      <c r="F148" s="354"/>
      <c r="G148" s="354"/>
      <c r="H148" s="358"/>
      <c r="I148" s="343"/>
      <c r="J148" s="343"/>
      <c r="K148" s="343"/>
      <c r="L148" s="318"/>
    </row>
    <row r="149" spans="1:12" ht="12" customHeight="1">
      <c r="A149" s="137"/>
      <c r="B149" s="33"/>
      <c r="C149" s="174"/>
      <c r="D149" s="175"/>
      <c r="E149" s="354"/>
      <c r="F149" s="354"/>
      <c r="G149" s="354"/>
      <c r="H149" s="358"/>
      <c r="I149" s="343"/>
      <c r="J149" s="343"/>
      <c r="K149" s="343"/>
      <c r="L149" s="318"/>
    </row>
    <row r="150" spans="1:12" ht="12" customHeight="1">
      <c r="A150" s="137"/>
      <c r="B150" s="33"/>
      <c r="C150" s="174"/>
      <c r="D150" s="175"/>
      <c r="E150" s="354"/>
      <c r="F150" s="354"/>
      <c r="G150" s="354"/>
      <c r="H150" s="358"/>
      <c r="I150" s="343"/>
      <c r="J150" s="343"/>
      <c r="K150" s="343"/>
      <c r="L150" s="318"/>
    </row>
    <row r="151" spans="1:12" ht="12" customHeight="1">
      <c r="A151" s="137"/>
      <c r="B151" s="33"/>
      <c r="C151" s="174"/>
      <c r="D151" s="175"/>
      <c r="E151" s="354"/>
      <c r="F151" s="354"/>
      <c r="G151" s="354"/>
      <c r="H151" s="358"/>
      <c r="I151" s="343"/>
      <c r="J151" s="343"/>
      <c r="K151" s="343"/>
      <c r="L151" s="318"/>
    </row>
    <row r="152" spans="1:12" ht="12" customHeight="1">
      <c r="A152" s="137" t="s">
        <v>342</v>
      </c>
      <c r="B152" s="33" t="s">
        <v>158</v>
      </c>
      <c r="C152" s="174"/>
      <c r="D152" s="175">
        <f>$C$152*$C$209</f>
        <v>0</v>
      </c>
      <c r="E152" s="159"/>
      <c r="F152" s="354"/>
      <c r="G152" s="354"/>
      <c r="H152" s="358"/>
      <c r="I152" s="343"/>
      <c r="J152" s="343"/>
      <c r="K152" s="343"/>
      <c r="L152" s="318"/>
    </row>
    <row r="153" spans="1:12" ht="12" customHeight="1">
      <c r="A153" s="137"/>
      <c r="B153" s="33"/>
      <c r="C153" s="174"/>
      <c r="D153" s="175"/>
      <c r="E153" s="354"/>
      <c r="F153" s="354"/>
      <c r="G153" s="354"/>
      <c r="H153" s="358"/>
      <c r="I153" s="343"/>
      <c r="J153" s="343"/>
      <c r="K153" s="343"/>
      <c r="L153" s="318"/>
    </row>
    <row r="154" spans="1:12" ht="12" customHeight="1">
      <c r="A154" s="137" t="s">
        <v>343</v>
      </c>
      <c r="B154" s="33" t="s">
        <v>159</v>
      </c>
      <c r="C154" s="174">
        <v>0</v>
      </c>
      <c r="D154" s="175">
        <f>$C$154*$C$209</f>
        <v>0</v>
      </c>
      <c r="E154" s="354"/>
      <c r="F154" s="354"/>
      <c r="G154" s="354"/>
      <c r="H154" s="358"/>
      <c r="I154" s="343"/>
      <c r="J154" s="343"/>
      <c r="K154" s="343"/>
      <c r="L154" s="318"/>
    </row>
    <row r="155" spans="1:12" ht="12" customHeight="1">
      <c r="A155" s="137" t="s">
        <v>344</v>
      </c>
      <c r="B155" s="33" t="s">
        <v>160</v>
      </c>
      <c r="C155" s="174"/>
      <c r="D155" s="175">
        <f>$C$155*$C$209</f>
        <v>0</v>
      </c>
      <c r="E155" s="354"/>
      <c r="F155" s="354"/>
      <c r="G155" s="354"/>
      <c r="H155" s="358"/>
      <c r="I155" s="343"/>
      <c r="J155" s="343"/>
      <c r="K155" s="343"/>
      <c r="L155" s="318"/>
    </row>
    <row r="156" spans="1:12" ht="12" customHeight="1">
      <c r="A156" s="137" t="s">
        <v>350</v>
      </c>
      <c r="B156" s="33" t="s">
        <v>161</v>
      </c>
      <c r="C156" s="174">
        <v>50</v>
      </c>
      <c r="D156" s="175">
        <f>$C$156*$C$209</f>
        <v>200</v>
      </c>
      <c r="E156" s="354"/>
      <c r="F156" s="354"/>
      <c r="G156" s="354"/>
      <c r="H156" s="358"/>
      <c r="I156" s="343"/>
      <c r="J156" s="343"/>
      <c r="K156" s="343"/>
      <c r="L156" s="318"/>
    </row>
    <row r="157" spans="1:12" ht="12" customHeight="1">
      <c r="A157" s="137" t="s">
        <v>315</v>
      </c>
      <c r="B157" s="33" t="s">
        <v>162</v>
      </c>
      <c r="C157" s="174"/>
      <c r="D157" s="175">
        <f>$C$157*$C$209</f>
        <v>0</v>
      </c>
      <c r="E157" s="354"/>
      <c r="F157" s="354"/>
      <c r="G157" s="354"/>
      <c r="H157" s="358"/>
      <c r="I157" s="343"/>
      <c r="J157" s="343"/>
      <c r="K157" s="343"/>
      <c r="L157" s="318"/>
    </row>
    <row r="158" spans="1:12" ht="12" customHeight="1">
      <c r="A158" s="137" t="s">
        <v>351</v>
      </c>
      <c r="B158" s="33" t="s">
        <v>163</v>
      </c>
      <c r="C158" s="174">
        <v>50</v>
      </c>
      <c r="D158" s="175">
        <f>$C$158*$C$209</f>
        <v>200</v>
      </c>
      <c r="E158" s="354"/>
      <c r="F158" s="354"/>
      <c r="G158" s="354"/>
      <c r="H158" s="358"/>
      <c r="I158" s="343"/>
      <c r="J158" s="343"/>
      <c r="K158" s="343"/>
      <c r="L158" s="318"/>
    </row>
    <row r="159" spans="1:12" ht="12" customHeight="1">
      <c r="A159" s="137" t="s">
        <v>318</v>
      </c>
      <c r="B159" s="33" t="s">
        <v>164</v>
      </c>
      <c r="C159" s="174"/>
      <c r="D159" s="175">
        <f>$C$159*$C$209</f>
        <v>0</v>
      </c>
      <c r="E159" s="354"/>
      <c r="F159" s="354"/>
      <c r="G159" s="354"/>
      <c r="H159" s="358"/>
      <c r="I159" s="343"/>
      <c r="J159" s="343"/>
      <c r="K159" s="343"/>
      <c r="L159" s="318"/>
    </row>
    <row r="160" spans="1:12" ht="12" customHeight="1">
      <c r="A160" s="137" t="s">
        <v>352</v>
      </c>
      <c r="B160" s="33" t="s">
        <v>165</v>
      </c>
      <c r="C160" s="174">
        <v>1000</v>
      </c>
      <c r="D160" s="175">
        <f>$C$160*$C$209</f>
        <v>4000</v>
      </c>
      <c r="E160" s="354"/>
      <c r="F160" s="354"/>
      <c r="G160" s="354"/>
      <c r="H160" s="358"/>
      <c r="I160" s="343"/>
      <c r="J160" s="343"/>
      <c r="K160" s="343"/>
      <c r="L160" s="318"/>
    </row>
    <row r="161" spans="1:12" ht="12" customHeight="1">
      <c r="A161" s="137" t="s">
        <v>325</v>
      </c>
      <c r="B161" s="33" t="s">
        <v>166</v>
      </c>
      <c r="C161" s="174"/>
      <c r="D161" s="175">
        <f>$C$161*$C$209</f>
        <v>0</v>
      </c>
      <c r="E161" s="354"/>
      <c r="F161" s="354"/>
      <c r="G161" s="354"/>
      <c r="H161" s="358"/>
      <c r="I161" s="343"/>
      <c r="J161" s="343"/>
      <c r="K161" s="343"/>
      <c r="L161" s="318"/>
    </row>
    <row r="162" spans="1:12" ht="12" customHeight="1">
      <c r="A162" s="137" t="s">
        <v>353</v>
      </c>
      <c r="B162" s="33" t="s">
        <v>167</v>
      </c>
      <c r="C162" s="174">
        <v>2000</v>
      </c>
      <c r="D162" s="175">
        <f>$C$162*$C$209</f>
        <v>8000</v>
      </c>
      <c r="E162" s="343"/>
      <c r="F162" s="343"/>
      <c r="G162" s="343"/>
      <c r="H162" s="344"/>
      <c r="I162" s="343"/>
      <c r="J162" s="343"/>
      <c r="K162" s="343"/>
      <c r="L162" s="318"/>
    </row>
    <row r="163" spans="1:12" ht="12" customHeight="1">
      <c r="A163" s="137" t="s">
        <v>331</v>
      </c>
      <c r="B163" s="33" t="s">
        <v>168</v>
      </c>
      <c r="C163" s="174"/>
      <c r="D163" s="175">
        <f>$C$163*$C$209</f>
        <v>0</v>
      </c>
      <c r="E163" s="354"/>
      <c r="F163" s="354"/>
      <c r="G163" s="354"/>
      <c r="H163" s="358"/>
      <c r="I163" s="343"/>
      <c r="J163" s="343"/>
      <c r="K163" s="343"/>
      <c r="L163" s="318"/>
    </row>
    <row r="164" spans="1:12" ht="12" customHeight="1">
      <c r="A164" s="137" t="s">
        <v>354</v>
      </c>
      <c r="B164" s="33" t="s">
        <v>169</v>
      </c>
      <c r="C164" s="174">
        <v>0</v>
      </c>
      <c r="D164" s="175">
        <f>$C$164*$C$209</f>
        <v>0</v>
      </c>
      <c r="E164" s="354"/>
      <c r="F164" s="354"/>
      <c r="G164" s="354"/>
      <c r="H164" s="358"/>
      <c r="I164" s="343"/>
      <c r="J164" s="343"/>
      <c r="K164" s="343"/>
      <c r="L164" s="318"/>
    </row>
    <row r="165" spans="1:12" ht="12" customHeight="1">
      <c r="A165" s="137"/>
      <c r="B165" s="33"/>
      <c r="C165" s="174"/>
      <c r="D165" s="175"/>
      <c r="E165" s="354"/>
      <c r="F165" s="354"/>
      <c r="G165" s="354"/>
      <c r="H165" s="358"/>
      <c r="I165" s="343"/>
      <c r="J165" s="343"/>
      <c r="K165" s="343"/>
      <c r="L165" s="318"/>
    </row>
    <row r="166" spans="1:12" ht="12" customHeight="1">
      <c r="A166" s="137"/>
      <c r="B166" s="33"/>
      <c r="C166" s="174"/>
      <c r="D166" s="175"/>
      <c r="E166" s="159"/>
      <c r="F166" s="343"/>
      <c r="G166" s="343"/>
      <c r="H166" s="344"/>
      <c r="I166" s="343"/>
      <c r="J166" s="343"/>
      <c r="K166" s="343"/>
      <c r="L166" s="318"/>
    </row>
    <row r="167" spans="1:12" ht="12" customHeight="1">
      <c r="A167" s="137"/>
      <c r="B167" s="33"/>
      <c r="C167" s="174"/>
      <c r="D167" s="175"/>
      <c r="E167" s="354"/>
      <c r="F167" s="354"/>
      <c r="G167" s="354"/>
      <c r="H167" s="358"/>
      <c r="I167" s="343"/>
      <c r="J167" s="343"/>
      <c r="K167" s="343"/>
      <c r="L167" s="318"/>
    </row>
    <row r="168" spans="1:12" ht="12" customHeight="1">
      <c r="A168" s="137" t="s">
        <v>355</v>
      </c>
      <c r="B168" s="33" t="s">
        <v>448</v>
      </c>
      <c r="C168" s="178"/>
      <c r="D168" s="175">
        <f>($K$179*$C$197*$C$198)</f>
        <v>8000</v>
      </c>
      <c r="E168" s="159" t="s">
        <v>439</v>
      </c>
      <c r="F168" s="354"/>
      <c r="G168" s="354"/>
      <c r="H168" s="358"/>
      <c r="I168" s="343"/>
      <c r="J168" s="343"/>
      <c r="K168" s="343"/>
      <c r="L168" s="318"/>
    </row>
    <row r="169" spans="1:12" ht="12" customHeight="1">
      <c r="A169" s="137"/>
      <c r="B169" s="33"/>
      <c r="C169" s="174"/>
      <c r="D169" s="175"/>
      <c r="E169" s="354"/>
      <c r="F169" s="354"/>
      <c r="G169" s="354"/>
      <c r="H169" s="358"/>
      <c r="I169" s="343"/>
      <c r="J169" s="343"/>
      <c r="K169" s="343"/>
      <c r="L169" s="318"/>
    </row>
    <row r="170" spans="1:12" ht="12" customHeight="1" thickBot="1">
      <c r="A170" s="137" t="s">
        <v>356</v>
      </c>
      <c r="B170" s="33" t="s">
        <v>171</v>
      </c>
      <c r="C170" s="178"/>
      <c r="D170" s="175">
        <f>($K$179*$F$197*$F$198)</f>
        <v>1000</v>
      </c>
      <c r="E170" s="354"/>
      <c r="F170" s="354"/>
      <c r="G170" s="354"/>
      <c r="H170" s="358"/>
      <c r="I170" s="343"/>
      <c r="J170" s="343"/>
      <c r="K170" s="343"/>
      <c r="L170" s="318"/>
    </row>
    <row r="171" spans="1:12" ht="12" customHeight="1" thickBot="1">
      <c r="A171" s="179"/>
      <c r="B171" s="44"/>
      <c r="C171" s="44">
        <f>SUM(C144:C170)</f>
        <v>29091.8036</v>
      </c>
      <c r="D171" s="180">
        <f>SUM(D144:D170)</f>
        <v>89916.9744</v>
      </c>
      <c r="E171" s="328"/>
      <c r="F171" s="328"/>
      <c r="G171" s="328"/>
      <c r="H171" s="324"/>
      <c r="I171" s="354"/>
      <c r="J171" s="354"/>
      <c r="K171" s="354"/>
      <c r="L171" s="318"/>
    </row>
    <row r="172" spans="1:13" ht="12" customHeight="1">
      <c r="A172" s="182"/>
      <c r="B172" s="78"/>
      <c r="C172" s="78"/>
      <c r="D172" s="154"/>
      <c r="E172" s="354"/>
      <c r="F172" s="354"/>
      <c r="G172" s="354"/>
      <c r="H172" s="354"/>
      <c r="I172" s="354"/>
      <c r="J172" s="354"/>
      <c r="K172" s="354"/>
      <c r="L172" s="354"/>
      <c r="M172" s="318"/>
    </row>
    <row r="173" spans="1:13" ht="12" customHeight="1">
      <c r="A173" s="182"/>
      <c r="B173" s="183" t="s">
        <v>172</v>
      </c>
      <c r="C173" s="78"/>
      <c r="D173" s="154"/>
      <c r="E173" s="354"/>
      <c r="F173" s="354"/>
      <c r="G173" s="354"/>
      <c r="H173" s="354"/>
      <c r="I173" s="354"/>
      <c r="J173" s="354"/>
      <c r="K173" s="354"/>
      <c r="L173" s="354"/>
      <c r="M173" s="318"/>
    </row>
    <row r="174" spans="1:13" ht="12" customHeight="1">
      <c r="A174" s="182"/>
      <c r="B174" s="78"/>
      <c r="C174" s="78"/>
      <c r="D174" s="154"/>
      <c r="E174" s="354"/>
      <c r="F174" s="354"/>
      <c r="G174" s="354"/>
      <c r="H174" s="354"/>
      <c r="I174" s="354"/>
      <c r="J174" s="354"/>
      <c r="K174" s="354"/>
      <c r="L174" s="354"/>
      <c r="M174" s="318"/>
    </row>
    <row r="175" spans="1:13" ht="12" customHeight="1">
      <c r="A175" s="182"/>
      <c r="B175" s="184"/>
      <c r="C175" s="78"/>
      <c r="D175" s="154"/>
      <c r="E175" s="354"/>
      <c r="F175" s="354"/>
      <c r="G175" s="354"/>
      <c r="H175" s="354"/>
      <c r="I175" s="354"/>
      <c r="J175" s="354"/>
      <c r="K175" s="354"/>
      <c r="L175" s="354"/>
      <c r="M175" s="318"/>
    </row>
    <row r="176" spans="1:13" ht="12" customHeight="1">
      <c r="A176" s="182"/>
      <c r="B176" s="78"/>
      <c r="C176" s="78"/>
      <c r="D176" s="154"/>
      <c r="E176" s="354"/>
      <c r="F176" s="354"/>
      <c r="G176" s="354"/>
      <c r="H176" s="354"/>
      <c r="I176" s="354"/>
      <c r="J176" s="354"/>
      <c r="K176" s="354"/>
      <c r="L176" s="354"/>
      <c r="M176" s="318"/>
    </row>
    <row r="177" ht="12" customHeight="1" thickBot="1"/>
    <row r="178" spans="1:11" ht="12" customHeight="1" thickBot="1">
      <c r="A178" s="182"/>
      <c r="B178" s="359" t="s">
        <v>173</v>
      </c>
      <c r="C178" s="360"/>
      <c r="D178" s="361" t="s">
        <v>174</v>
      </c>
      <c r="E178" s="321"/>
      <c r="F178" s="362" t="s">
        <v>8</v>
      </c>
      <c r="G178" s="318"/>
      <c r="H178" s="363" t="s">
        <v>175</v>
      </c>
      <c r="I178" s="364"/>
      <c r="J178" s="364"/>
      <c r="K178" s="365"/>
    </row>
    <row r="179" spans="1:11" ht="12" customHeight="1">
      <c r="A179" s="182"/>
      <c r="B179" s="366" t="s">
        <v>176</v>
      </c>
      <c r="C179" s="367"/>
      <c r="D179" s="145"/>
      <c r="E179" s="264"/>
      <c r="F179" s="368"/>
      <c r="G179" s="318"/>
      <c r="H179" s="369" t="s">
        <v>177</v>
      </c>
      <c r="I179" s="159"/>
      <c r="J179" s="159"/>
      <c r="K179" s="370">
        <f>C209*5</f>
        <v>20</v>
      </c>
    </row>
    <row r="180" spans="1:11" ht="12" customHeight="1">
      <c r="A180" s="182"/>
      <c r="B180" s="371" t="s">
        <v>178</v>
      </c>
      <c r="C180" s="372"/>
      <c r="D180" s="247" t="s">
        <v>179</v>
      </c>
      <c r="E180" s="373"/>
      <c r="F180" s="374">
        <f>C140</f>
        <v>201375.57799999998</v>
      </c>
      <c r="G180" s="40"/>
      <c r="H180" s="369" t="s">
        <v>180</v>
      </c>
      <c r="I180" s="318"/>
      <c r="J180" s="318"/>
      <c r="K180" s="370">
        <f>C213</f>
        <v>400</v>
      </c>
    </row>
    <row r="181" spans="1:11" ht="12" customHeight="1">
      <c r="A181" s="182"/>
      <c r="B181" s="371" t="s">
        <v>181</v>
      </c>
      <c r="C181" s="372"/>
      <c r="D181" s="247"/>
      <c r="E181" s="79"/>
      <c r="F181" s="375"/>
      <c r="G181" s="40"/>
      <c r="H181" s="369" t="s">
        <v>182</v>
      </c>
      <c r="I181" s="318"/>
      <c r="J181" s="318"/>
      <c r="K181" s="376">
        <f>C215</f>
        <v>0.75</v>
      </c>
    </row>
    <row r="182" spans="1:11" ht="12" customHeight="1" thickBot="1">
      <c r="A182" s="182"/>
      <c r="B182" s="371" t="s">
        <v>183</v>
      </c>
      <c r="C182" s="372"/>
      <c r="D182" s="247" t="s">
        <v>184</v>
      </c>
      <c r="E182" s="373"/>
      <c r="F182" s="374">
        <f>D171</f>
        <v>89916.9744</v>
      </c>
      <c r="G182" s="40"/>
      <c r="H182" s="369" t="s">
        <v>185</v>
      </c>
      <c r="I182" s="318"/>
      <c r="J182" s="318"/>
      <c r="K182" s="377">
        <f>C214</f>
        <v>16.666666666666668</v>
      </c>
    </row>
    <row r="183" spans="1:11" ht="12" customHeight="1">
      <c r="A183" s="182"/>
      <c r="B183" s="212" t="s">
        <v>186</v>
      </c>
      <c r="C183" s="213"/>
      <c r="D183" s="247"/>
      <c r="E183" s="79"/>
      <c r="F183" s="375"/>
      <c r="G183" s="40"/>
      <c r="H183" s="378" t="s">
        <v>187</v>
      </c>
      <c r="I183" s="379"/>
      <c r="J183" s="379"/>
      <c r="K183" s="380">
        <f>$K$179*$K$180*$K$181</f>
        <v>6000</v>
      </c>
    </row>
    <row r="184" spans="1:11" ht="12" customHeight="1" thickBot="1">
      <c r="A184" s="182"/>
      <c r="B184" s="217" t="s">
        <v>188</v>
      </c>
      <c r="C184" s="218"/>
      <c r="D184" s="247"/>
      <c r="E184" s="373"/>
      <c r="F184" s="381"/>
      <c r="G184" s="40"/>
      <c r="H184" s="369" t="s">
        <v>189</v>
      </c>
      <c r="I184" s="318"/>
      <c r="J184" s="318"/>
      <c r="K184" s="382">
        <f>-K185*F214</f>
        <v>0</v>
      </c>
    </row>
    <row r="185" spans="1:11" ht="12" customHeight="1" thickBot="1">
      <c r="A185" s="182"/>
      <c r="B185" s="383"/>
      <c r="C185" s="79"/>
      <c r="D185" s="491" t="s">
        <v>190</v>
      </c>
      <c r="E185" s="384"/>
      <c r="F185" s="385">
        <f>SUM(F180:F184)</f>
        <v>291292.5524</v>
      </c>
      <c r="G185" s="40"/>
      <c r="H185" s="369" t="s">
        <v>191</v>
      </c>
      <c r="I185" s="318"/>
      <c r="J185" s="318"/>
      <c r="K185" s="377">
        <f>$K$183*$K$182</f>
        <v>100000</v>
      </c>
    </row>
    <row r="186" spans="1:11" ht="12" customHeight="1">
      <c r="A186" s="182"/>
      <c r="B186" s="386" t="s">
        <v>192</v>
      </c>
      <c r="C186" s="387"/>
      <c r="D186" s="247" t="s">
        <v>440</v>
      </c>
      <c r="E186" s="388"/>
      <c r="F186" s="375">
        <f>$K$185</f>
        <v>100000</v>
      </c>
      <c r="G186" s="40"/>
      <c r="H186" s="369" t="s">
        <v>194</v>
      </c>
      <c r="I186" s="318"/>
      <c r="J186" s="318"/>
      <c r="K186" s="377">
        <f>-SUM($K$185*$F$213)</f>
        <v>-3000</v>
      </c>
    </row>
    <row r="187" spans="1:11" ht="12" customHeight="1">
      <c r="A187" s="182"/>
      <c r="B187" s="389" t="s">
        <v>195</v>
      </c>
      <c r="C187" s="390"/>
      <c r="D187" s="492" t="s">
        <v>196</v>
      </c>
      <c r="E187" s="391"/>
      <c r="F187" s="375">
        <f>$K$187</f>
        <v>-8583.333333333334</v>
      </c>
      <c r="G187" s="40"/>
      <c r="H187" s="369" t="s">
        <v>196</v>
      </c>
      <c r="I187" s="318"/>
      <c r="J187" s="318"/>
      <c r="K187" s="392">
        <f>-SUM((($K$185-K186))/1.2*$C$216)</f>
        <v>-8583.333333333334</v>
      </c>
    </row>
    <row r="188" spans="1:11" ht="12" customHeight="1">
      <c r="A188" s="182"/>
      <c r="B188" s="389" t="s">
        <v>197</v>
      </c>
      <c r="C188" s="390"/>
      <c r="D188" s="492" t="s">
        <v>198</v>
      </c>
      <c r="E188" s="391"/>
      <c r="F188" s="375">
        <f>$K$186</f>
        <v>-3000</v>
      </c>
      <c r="G188" s="393"/>
      <c r="H188" s="378" t="s">
        <v>199</v>
      </c>
      <c r="I188" s="379"/>
      <c r="J188" s="379"/>
      <c r="K188" s="392">
        <f>SUM(K184:K187)</f>
        <v>88416.66666666667</v>
      </c>
    </row>
    <row r="189" spans="1:7" ht="12" customHeight="1">
      <c r="A189" s="182"/>
      <c r="B189" s="389" t="s">
        <v>200</v>
      </c>
      <c r="C189" s="390"/>
      <c r="D189" s="492" t="s">
        <v>201</v>
      </c>
      <c r="E189" s="391"/>
      <c r="F189" s="375">
        <f>K184</f>
        <v>0</v>
      </c>
      <c r="G189" s="40"/>
    </row>
    <row r="190" spans="1:7" ht="12" customHeight="1">
      <c r="A190" s="182"/>
      <c r="B190" s="389" t="s">
        <v>202</v>
      </c>
      <c r="C190" s="390"/>
      <c r="D190" s="247" t="s">
        <v>203</v>
      </c>
      <c r="E190" s="264"/>
      <c r="F190" s="375"/>
      <c r="G190" s="40"/>
    </row>
    <row r="191" spans="1:7" ht="12" customHeight="1">
      <c r="A191" s="182"/>
      <c r="B191" s="389" t="s">
        <v>204</v>
      </c>
      <c r="C191" s="390"/>
      <c r="D191" s="491" t="s">
        <v>205</v>
      </c>
      <c r="E191" s="384"/>
      <c r="F191" s="385">
        <f>SUM(F186:F190)</f>
        <v>88416.66666666667</v>
      </c>
      <c r="G191" s="393"/>
    </row>
    <row r="192" spans="1:10" ht="12" customHeight="1" thickBot="1">
      <c r="A192" s="182"/>
      <c r="B192" s="394" t="s">
        <v>206</v>
      </c>
      <c r="C192" s="395"/>
      <c r="D192" s="493" t="s">
        <v>207</v>
      </c>
      <c r="E192" s="396"/>
      <c r="F192" s="397">
        <f>F191-F185</f>
        <v>-202875.8857333333</v>
      </c>
      <c r="G192" s="398"/>
      <c r="H192" s="318"/>
      <c r="I192" s="318"/>
      <c r="J192" s="318"/>
    </row>
    <row r="193" spans="1:11" ht="12" customHeight="1">
      <c r="A193" s="318"/>
      <c r="F193" s="318"/>
      <c r="G193" s="40"/>
      <c r="H193" s="40"/>
      <c r="I193" s="318"/>
      <c r="J193" s="318"/>
      <c r="K193" s="318"/>
    </row>
    <row r="194" spans="2:5" ht="12" customHeight="1" thickBot="1">
      <c r="B194" s="399" t="s">
        <v>208</v>
      </c>
      <c r="C194" s="318"/>
      <c r="D194" s="399"/>
      <c r="E194" s="318"/>
    </row>
    <row r="195" spans="2:6" ht="12" customHeight="1">
      <c r="B195" s="461" t="s">
        <v>209</v>
      </c>
      <c r="C195" s="462"/>
      <c r="D195" s="461" t="s">
        <v>209</v>
      </c>
      <c r="E195" s="463"/>
      <c r="F195" s="464"/>
    </row>
    <row r="196" spans="2:6" ht="12" customHeight="1" thickBot="1">
      <c r="B196" s="465" t="s">
        <v>210</v>
      </c>
      <c r="C196" s="466"/>
      <c r="D196" s="465" t="s">
        <v>210</v>
      </c>
      <c r="E196" s="466"/>
      <c r="F196" s="467"/>
    </row>
    <row r="197" spans="2:6" ht="12" customHeight="1">
      <c r="B197" s="247" t="s">
        <v>211</v>
      </c>
      <c r="C197" s="468">
        <v>50</v>
      </c>
      <c r="D197" s="249" t="s">
        <v>212</v>
      </c>
      <c r="E197" s="159"/>
      <c r="F197" s="469">
        <v>50</v>
      </c>
    </row>
    <row r="198" spans="2:7" ht="12" customHeight="1">
      <c r="B198" s="247" t="s">
        <v>213</v>
      </c>
      <c r="C198" s="470">
        <v>8</v>
      </c>
      <c r="D198" s="249" t="s">
        <v>214</v>
      </c>
      <c r="E198" s="159"/>
      <c r="F198" s="469">
        <v>1</v>
      </c>
      <c r="G198" s="317" t="s">
        <v>215</v>
      </c>
    </row>
    <row r="199" spans="2:7" ht="12" customHeight="1">
      <c r="B199" s="247" t="s">
        <v>216</v>
      </c>
      <c r="C199" s="471">
        <v>37</v>
      </c>
      <c r="D199" s="249" t="s">
        <v>217</v>
      </c>
      <c r="E199" s="159"/>
      <c r="F199" s="472">
        <v>0.1</v>
      </c>
      <c r="G199" s="317" t="s">
        <v>218</v>
      </c>
    </row>
    <row r="200" spans="2:6" ht="12" customHeight="1">
      <c r="B200" s="247" t="s">
        <v>219</v>
      </c>
      <c r="C200" s="473">
        <v>0.1</v>
      </c>
      <c r="D200" s="249" t="s">
        <v>220</v>
      </c>
      <c r="E200" s="159"/>
      <c r="F200" s="472">
        <v>0.1</v>
      </c>
    </row>
    <row r="201" spans="2:6" ht="12" customHeight="1">
      <c r="B201" s="247" t="s">
        <v>221</v>
      </c>
      <c r="C201" s="473">
        <v>0.05</v>
      </c>
      <c r="D201" s="249" t="s">
        <v>222</v>
      </c>
      <c r="E201" s="159"/>
      <c r="F201" s="472">
        <v>0.05</v>
      </c>
    </row>
    <row r="202" spans="2:6" ht="12" customHeight="1">
      <c r="B202" s="247" t="s">
        <v>223</v>
      </c>
      <c r="C202" s="470">
        <v>1</v>
      </c>
      <c r="D202" s="249" t="s">
        <v>224</v>
      </c>
      <c r="E202" s="159"/>
      <c r="F202" s="469">
        <v>400</v>
      </c>
    </row>
    <row r="203" spans="2:6" ht="12" customHeight="1">
      <c r="B203" s="247" t="s">
        <v>225</v>
      </c>
      <c r="C203" s="470">
        <v>1</v>
      </c>
      <c r="D203" s="249" t="s">
        <v>226</v>
      </c>
      <c r="E203" s="159"/>
      <c r="F203" s="469">
        <v>400</v>
      </c>
    </row>
    <row r="204" spans="2:6" ht="12" customHeight="1">
      <c r="B204" s="247" t="s">
        <v>227</v>
      </c>
      <c r="C204" s="470">
        <v>0</v>
      </c>
      <c r="D204" s="249" t="s">
        <v>228</v>
      </c>
      <c r="E204" s="159"/>
      <c r="F204" s="469">
        <v>15</v>
      </c>
    </row>
    <row r="205" spans="2:6" ht="12" customHeight="1">
      <c r="B205" s="247" t="s">
        <v>229</v>
      </c>
      <c r="C205" s="471">
        <v>500</v>
      </c>
      <c r="D205" s="249" t="s">
        <v>230</v>
      </c>
      <c r="E205" s="159"/>
      <c r="F205" s="469">
        <v>500</v>
      </c>
    </row>
    <row r="206" spans="2:6" ht="12" customHeight="1">
      <c r="B206" s="247" t="s">
        <v>231</v>
      </c>
      <c r="C206" s="471">
        <v>500</v>
      </c>
      <c r="D206" s="249" t="s">
        <v>48</v>
      </c>
      <c r="E206" s="159"/>
      <c r="F206" s="469">
        <v>200</v>
      </c>
    </row>
    <row r="207" spans="2:6" ht="12" customHeight="1">
      <c r="B207" s="255" t="s">
        <v>232</v>
      </c>
      <c r="C207" s="470">
        <v>5</v>
      </c>
      <c r="D207" s="249" t="s">
        <v>233</v>
      </c>
      <c r="E207" s="159"/>
      <c r="F207" s="469">
        <v>200</v>
      </c>
    </row>
    <row r="208" spans="2:6" ht="12" customHeight="1">
      <c r="B208" s="255" t="s">
        <v>234</v>
      </c>
      <c r="C208" s="470">
        <v>5</v>
      </c>
      <c r="D208" s="249" t="s">
        <v>235</v>
      </c>
      <c r="E208" s="159"/>
      <c r="F208" s="474">
        <v>1</v>
      </c>
    </row>
    <row r="209" spans="2:6" ht="12" customHeight="1">
      <c r="B209" s="255" t="s">
        <v>236</v>
      </c>
      <c r="C209" s="470">
        <v>4</v>
      </c>
      <c r="D209" s="249" t="s">
        <v>237</v>
      </c>
      <c r="E209" s="159"/>
      <c r="F209" s="469">
        <v>175</v>
      </c>
    </row>
    <row r="210" spans="2:6" ht="12" customHeight="1">
      <c r="B210" s="255" t="s">
        <v>238</v>
      </c>
      <c r="C210" s="470">
        <v>8</v>
      </c>
      <c r="D210" s="249" t="s">
        <v>239</v>
      </c>
      <c r="E210" s="159"/>
      <c r="F210" s="475">
        <v>0.0833</v>
      </c>
    </row>
    <row r="211" spans="2:6" ht="12" customHeight="1">
      <c r="B211" s="255" t="s">
        <v>240</v>
      </c>
      <c r="C211" s="470">
        <v>5</v>
      </c>
      <c r="D211" s="249" t="s">
        <v>241</v>
      </c>
      <c r="E211" s="159"/>
      <c r="F211" s="475">
        <v>0.128</v>
      </c>
    </row>
    <row r="212" spans="2:6" ht="12" customHeight="1">
      <c r="B212" s="255" t="s">
        <v>242</v>
      </c>
      <c r="C212" s="470">
        <f>5*C209</f>
        <v>20</v>
      </c>
      <c r="D212" s="249" t="s">
        <v>243</v>
      </c>
      <c r="E212" s="159"/>
      <c r="F212" s="469">
        <v>87</v>
      </c>
    </row>
    <row r="213" spans="2:6" ht="12" customHeight="1">
      <c r="B213" s="255" t="s">
        <v>244</v>
      </c>
      <c r="C213" s="470">
        <v>400</v>
      </c>
      <c r="D213" s="249" t="s">
        <v>245</v>
      </c>
      <c r="E213" s="159"/>
      <c r="F213" s="475">
        <v>0.03</v>
      </c>
    </row>
    <row r="214" spans="2:6" ht="12" customHeight="1">
      <c r="B214" s="255" t="s">
        <v>418</v>
      </c>
      <c r="C214" s="471">
        <f>20/1.2</f>
        <v>16.666666666666668</v>
      </c>
      <c r="D214" s="249" t="s">
        <v>189</v>
      </c>
      <c r="E214" s="249"/>
      <c r="F214" s="476">
        <v>0</v>
      </c>
    </row>
    <row r="215" spans="2:6" ht="12" customHeight="1">
      <c r="B215" s="255" t="s">
        <v>247</v>
      </c>
      <c r="C215" s="473">
        <v>0.75</v>
      </c>
      <c r="D215" s="249" t="s">
        <v>248</v>
      </c>
      <c r="E215" s="249"/>
      <c r="F215" s="477">
        <v>0</v>
      </c>
    </row>
    <row r="216" spans="2:6" ht="12" customHeight="1">
      <c r="B216" s="255" t="s">
        <v>249</v>
      </c>
      <c r="C216" s="478">
        <v>0.1</v>
      </c>
      <c r="D216" s="184" t="s">
        <v>250</v>
      </c>
      <c r="E216" s="184"/>
      <c r="F216" s="479">
        <v>60</v>
      </c>
    </row>
    <row r="217" spans="2:6" ht="12" customHeight="1">
      <c r="B217" s="255" t="s">
        <v>251</v>
      </c>
      <c r="C217" s="471">
        <v>90</v>
      </c>
      <c r="D217" s="184" t="s">
        <v>252</v>
      </c>
      <c r="E217" s="184"/>
      <c r="F217" s="477">
        <v>0</v>
      </c>
    </row>
    <row r="218" spans="1:6" ht="12" customHeight="1">
      <c r="A218" s="377"/>
      <c r="B218" s="262" t="s">
        <v>253</v>
      </c>
      <c r="C218" s="473">
        <v>0.05</v>
      </c>
      <c r="D218" s="263" t="s">
        <v>254</v>
      </c>
      <c r="E218" s="264"/>
      <c r="F218" s="480">
        <v>0</v>
      </c>
    </row>
    <row r="219" spans="1:6" ht="12" customHeight="1">
      <c r="A219" s="377"/>
      <c r="B219" s="255" t="s">
        <v>255</v>
      </c>
      <c r="C219" s="473">
        <v>0.05</v>
      </c>
      <c r="D219" s="161" t="s">
        <v>256</v>
      </c>
      <c r="F219" s="481">
        <v>0.05</v>
      </c>
    </row>
    <row r="220" spans="1:6" ht="12" customHeight="1">
      <c r="A220" s="377"/>
      <c r="B220" s="262" t="s">
        <v>257</v>
      </c>
      <c r="C220" s="471">
        <v>70</v>
      </c>
      <c r="D220" s="161" t="s">
        <v>258</v>
      </c>
      <c r="E220" s="318"/>
      <c r="F220" s="482">
        <v>150</v>
      </c>
    </row>
    <row r="221" spans="1:9" ht="12" customHeight="1" thickBot="1">
      <c r="A221" s="483"/>
      <c r="B221" s="266" t="s">
        <v>259</v>
      </c>
      <c r="C221" s="484">
        <v>10</v>
      </c>
      <c r="D221" s="267" t="s">
        <v>260</v>
      </c>
      <c r="E221" s="267"/>
      <c r="F221" s="485">
        <v>360</v>
      </c>
      <c r="G221" s="282"/>
      <c r="H221" s="282"/>
      <c r="I221" s="282"/>
    </row>
    <row r="222" spans="1:9" ht="12" customHeight="1">
      <c r="A222" s="282"/>
      <c r="B222" s="282"/>
      <c r="C222" s="282"/>
      <c r="D222" s="282"/>
      <c r="E222" s="282"/>
      <c r="F222" s="282"/>
      <c r="G222" s="282"/>
      <c r="H222" s="282"/>
      <c r="I222" s="282"/>
    </row>
    <row r="223" spans="1:9" ht="12" customHeight="1">
      <c r="A223" s="282"/>
      <c r="B223" s="400" t="s">
        <v>261</v>
      </c>
      <c r="C223" s="282"/>
      <c r="D223" s="282"/>
      <c r="E223" s="282"/>
      <c r="F223" s="282"/>
      <c r="G223" s="282"/>
      <c r="H223" s="282"/>
      <c r="I223" s="282"/>
    </row>
    <row r="224" spans="1:9" ht="12" customHeight="1">
      <c r="A224" s="282"/>
      <c r="B224" s="401"/>
      <c r="C224" s="282"/>
      <c r="D224" s="282"/>
      <c r="E224" s="282"/>
      <c r="F224" s="282"/>
      <c r="G224" s="282"/>
      <c r="H224" s="282"/>
      <c r="I224" s="282"/>
    </row>
    <row r="225" spans="1:9" ht="12" customHeight="1">
      <c r="A225" s="282"/>
      <c r="B225" s="400"/>
      <c r="C225" s="282"/>
      <c r="D225" s="282"/>
      <c r="E225" s="282"/>
      <c r="F225" s="282"/>
      <c r="G225" s="282"/>
      <c r="H225" s="282"/>
      <c r="I225" s="282"/>
    </row>
    <row r="226" spans="1:9" ht="12" customHeight="1">
      <c r="A226" s="282"/>
      <c r="B226" s="282"/>
      <c r="C226" s="282"/>
      <c r="D226" s="282"/>
      <c r="E226" s="282"/>
      <c r="F226" s="402" t="s">
        <v>8</v>
      </c>
      <c r="G226" s="403" t="s">
        <v>262</v>
      </c>
      <c r="H226" s="282"/>
      <c r="I226" s="282"/>
    </row>
    <row r="227" spans="1:9" ht="12" customHeight="1">
      <c r="A227" s="404" t="s">
        <v>263</v>
      </c>
      <c r="B227" s="282"/>
      <c r="C227" s="282"/>
      <c r="D227" s="282" t="s">
        <v>264</v>
      </c>
      <c r="E227" s="282"/>
      <c r="F227" s="282">
        <f>F186+F188+F189</f>
        <v>97000</v>
      </c>
      <c r="G227" s="405" t="e">
        <f>#REF!+#REF!+#REF!</f>
        <v>#REF!</v>
      </c>
      <c r="H227" s="282"/>
      <c r="I227" s="282"/>
    </row>
    <row r="228" spans="1:9" ht="12" customHeight="1">
      <c r="A228" s="282"/>
      <c r="B228" s="404"/>
      <c r="C228" s="282"/>
      <c r="D228" s="282" t="s">
        <v>265</v>
      </c>
      <c r="E228" s="282"/>
      <c r="F228" s="282">
        <f>F190</f>
        <v>0</v>
      </c>
      <c r="G228" s="405" t="e">
        <f>#REF!</f>
        <v>#REF!</v>
      </c>
      <c r="H228" s="282"/>
      <c r="I228" s="282"/>
    </row>
    <row r="229" spans="1:9" ht="12" customHeight="1">
      <c r="A229" s="282"/>
      <c r="B229" s="282"/>
      <c r="C229" s="282"/>
      <c r="D229" s="282" t="s">
        <v>266</v>
      </c>
      <c r="E229" s="282"/>
      <c r="F229" s="282">
        <f>F187</f>
        <v>-8583.333333333334</v>
      </c>
      <c r="G229" s="405" t="e">
        <f>#REF!</f>
        <v>#REF!</v>
      </c>
      <c r="H229" s="282"/>
      <c r="I229" s="282"/>
    </row>
    <row r="230" spans="1:9" ht="12" customHeight="1">
      <c r="A230" s="282"/>
      <c r="B230" s="282"/>
      <c r="C230" s="282"/>
      <c r="D230" s="406" t="s">
        <v>191</v>
      </c>
      <c r="E230" s="407"/>
      <c r="F230" s="408">
        <f>SUM(F227:F229)</f>
        <v>88416.66666666667</v>
      </c>
      <c r="G230" s="409" t="e">
        <f>SUM(G227:G229)</f>
        <v>#REF!</v>
      </c>
      <c r="H230" s="282"/>
      <c r="I230" s="282"/>
    </row>
    <row r="231" spans="1:9" ht="12" customHeight="1">
      <c r="A231" s="282"/>
      <c r="B231" s="282"/>
      <c r="C231" s="282"/>
      <c r="D231" s="282"/>
      <c r="E231" s="282"/>
      <c r="F231" s="282"/>
      <c r="G231" s="405"/>
      <c r="H231" s="282"/>
      <c r="I231" s="282"/>
    </row>
    <row r="232" spans="1:9" ht="12" customHeight="1">
      <c r="A232" s="404" t="s">
        <v>267</v>
      </c>
      <c r="B232" s="282"/>
      <c r="C232" s="282"/>
      <c r="D232" s="282"/>
      <c r="E232" s="282"/>
      <c r="F232" s="282"/>
      <c r="G232" s="405"/>
      <c r="H232" s="282"/>
      <c r="I232" s="282"/>
    </row>
    <row r="233" spans="1:9" ht="12" customHeight="1">
      <c r="A233" s="404"/>
      <c r="B233" s="282"/>
      <c r="C233" s="282" t="s">
        <v>268</v>
      </c>
      <c r="D233" s="282"/>
      <c r="E233" s="282"/>
      <c r="F233" s="282">
        <f>I69</f>
        <v>49350</v>
      </c>
      <c r="G233" s="405" t="e">
        <f>#REF!</f>
        <v>#REF!</v>
      </c>
      <c r="H233" s="282"/>
      <c r="I233" s="282"/>
    </row>
    <row r="234" spans="1:9" ht="12" customHeight="1">
      <c r="A234" s="282"/>
      <c r="B234" s="282"/>
      <c r="C234" s="282" t="s">
        <v>269</v>
      </c>
      <c r="D234" s="282"/>
      <c r="E234" s="282"/>
      <c r="F234" s="282">
        <f>G16+G24</f>
        <v>57213.418</v>
      </c>
      <c r="G234" s="405" t="e">
        <f>#REF!+#REF!</f>
        <v>#REF!</v>
      </c>
      <c r="H234" s="282"/>
      <c r="I234" s="282"/>
    </row>
    <row r="235" spans="1:9" ht="12" customHeight="1">
      <c r="A235" s="282"/>
      <c r="B235" s="282"/>
      <c r="C235" s="282" t="s">
        <v>270</v>
      </c>
      <c r="D235" s="282"/>
      <c r="E235" s="282"/>
      <c r="F235" s="282">
        <f>SUM(C79:D119)+G39+G45</f>
        <v>29163.36</v>
      </c>
      <c r="G235" s="405" t="e">
        <f>SUM(#REF!)+#REF!+#REF!</f>
        <v>#REF!</v>
      </c>
      <c r="H235" s="282"/>
      <c r="I235" s="282"/>
    </row>
    <row r="236" spans="1:9" ht="12" customHeight="1">
      <c r="A236" s="282"/>
      <c r="B236" s="282"/>
      <c r="C236" s="282" t="s">
        <v>271</v>
      </c>
      <c r="D236" s="282"/>
      <c r="E236" s="282"/>
      <c r="F236" s="282">
        <f>G31</f>
        <v>13648.8</v>
      </c>
      <c r="G236" s="405" t="e">
        <f>#REF!</f>
        <v>#REF!</v>
      </c>
      <c r="H236" s="282"/>
      <c r="I236" s="282"/>
    </row>
    <row r="237" spans="1:9" ht="12" customHeight="1">
      <c r="A237" s="282"/>
      <c r="B237" s="282"/>
      <c r="C237" s="282" t="s">
        <v>272</v>
      </c>
      <c r="D237" s="282"/>
      <c r="E237" s="282"/>
      <c r="F237" s="282">
        <f>SUM(C122:D124)</f>
        <v>25000</v>
      </c>
      <c r="G237" s="405" t="e">
        <f>SUM(#REF!)</f>
        <v>#REF!</v>
      </c>
      <c r="H237" s="282"/>
      <c r="I237" s="282"/>
    </row>
    <row r="238" spans="1:9" ht="12" customHeight="1">
      <c r="A238" s="282"/>
      <c r="B238" s="282"/>
      <c r="C238" s="282" t="s">
        <v>273</v>
      </c>
      <c r="D238" s="282"/>
      <c r="E238" s="282"/>
      <c r="F238" s="282">
        <f>C125+SUM(C137:D139)</f>
        <v>3500</v>
      </c>
      <c r="G238" s="405" t="e">
        <f>SUM(#REF!)+SUM(#REF!)</f>
        <v>#REF!</v>
      </c>
      <c r="H238" s="282"/>
      <c r="I238" s="282"/>
    </row>
    <row r="239" spans="1:9" ht="12" customHeight="1">
      <c r="A239" s="282"/>
      <c r="B239" s="282"/>
      <c r="C239" s="282" t="s">
        <v>274</v>
      </c>
      <c r="D239" s="282"/>
      <c r="E239" s="282"/>
      <c r="F239" s="282">
        <f>SUM(C131:D136)</f>
        <v>6000</v>
      </c>
      <c r="G239" s="405" t="e">
        <f>SUM(#REF!)</f>
        <v>#REF!</v>
      </c>
      <c r="H239" s="282"/>
      <c r="I239" s="282"/>
    </row>
    <row r="240" spans="1:9" ht="12" customHeight="1">
      <c r="A240" s="282"/>
      <c r="B240" s="282"/>
      <c r="C240" s="282" t="s">
        <v>275</v>
      </c>
      <c r="D240" s="282"/>
      <c r="E240" s="282"/>
      <c r="F240" s="282">
        <f>SUM(C128:D129)</f>
        <v>17500</v>
      </c>
      <c r="G240" s="405" t="e">
        <f>SUM(#REF!)</f>
        <v>#REF!</v>
      </c>
      <c r="H240" s="282"/>
      <c r="I240" s="282"/>
    </row>
    <row r="241" spans="1:9" ht="12" customHeight="1">
      <c r="A241" s="282"/>
      <c r="B241" s="282"/>
      <c r="C241" s="282"/>
      <c r="D241" s="282"/>
      <c r="E241" s="282"/>
      <c r="F241" s="408">
        <f>SUM(F233:F240)</f>
        <v>201375.57799999998</v>
      </c>
      <c r="G241" s="409" t="e">
        <f>SUM(G233:G240)</f>
        <v>#REF!</v>
      </c>
      <c r="H241" s="282"/>
      <c r="I241" s="282"/>
    </row>
    <row r="242" spans="1:9" ht="12" customHeight="1">
      <c r="A242" s="282"/>
      <c r="B242" s="282"/>
      <c r="C242" s="282"/>
      <c r="D242" s="282"/>
      <c r="E242" s="282"/>
      <c r="F242" s="282"/>
      <c r="G242" s="405"/>
      <c r="H242" s="282"/>
      <c r="I242" s="282"/>
    </row>
    <row r="243" spans="1:9" ht="12" customHeight="1">
      <c r="A243" s="404" t="s">
        <v>276</v>
      </c>
      <c r="B243" s="282"/>
      <c r="C243" s="282"/>
      <c r="D243" s="282"/>
      <c r="E243" s="282"/>
      <c r="F243" s="282"/>
      <c r="G243" s="405"/>
      <c r="H243" s="282"/>
      <c r="I243" s="282"/>
    </row>
    <row r="244" spans="1:9" ht="12" customHeight="1">
      <c r="A244" s="282"/>
      <c r="B244" s="282"/>
      <c r="C244" s="282" t="s">
        <v>269</v>
      </c>
      <c r="D244" s="282"/>
      <c r="E244" s="282"/>
      <c r="F244" s="282">
        <f>J16+J24</f>
        <v>47354.7344</v>
      </c>
      <c r="G244" s="405" t="e">
        <f>#REF!+#REF!</f>
        <v>#REF!</v>
      </c>
      <c r="H244" s="282"/>
      <c r="I244" s="282"/>
    </row>
    <row r="245" spans="1:9" ht="12" customHeight="1">
      <c r="A245" s="282"/>
      <c r="B245" s="282"/>
      <c r="C245" s="282" t="s">
        <v>277</v>
      </c>
      <c r="D245" s="282"/>
      <c r="E245" s="282"/>
      <c r="F245" s="282">
        <f>J31+J39+J45</f>
        <v>21162.239999999998</v>
      </c>
      <c r="G245" s="405" t="e">
        <f>#REF!+#REF!+#REF!</f>
        <v>#REF!</v>
      </c>
      <c r="H245" s="282"/>
      <c r="I245" s="282"/>
    </row>
    <row r="246" spans="1:9" ht="12" customHeight="1">
      <c r="A246" s="282"/>
      <c r="B246" s="282"/>
      <c r="C246" s="282" t="s">
        <v>156</v>
      </c>
      <c r="D246" s="282"/>
      <c r="E246" s="282"/>
      <c r="F246" s="282">
        <f>SUM(D152:D164)</f>
        <v>12400</v>
      </c>
      <c r="G246" s="405" t="e">
        <f>SUM(#REF!)</f>
        <v>#REF!</v>
      </c>
      <c r="H246" s="282"/>
      <c r="I246" s="282"/>
    </row>
    <row r="247" spans="1:9" ht="12" customHeight="1">
      <c r="A247" s="282"/>
      <c r="B247" s="282"/>
      <c r="C247" s="282" t="s">
        <v>278</v>
      </c>
      <c r="D247" s="282"/>
      <c r="E247" s="282"/>
      <c r="F247" s="282">
        <f>SUM(D166:D170)</f>
        <v>9000</v>
      </c>
      <c r="G247" s="405" t="e">
        <f>SUM(#REF!)</f>
        <v>#REF!</v>
      </c>
      <c r="H247" s="282"/>
      <c r="I247" s="282"/>
    </row>
    <row r="248" spans="1:9" ht="12" customHeight="1">
      <c r="A248" s="282"/>
      <c r="B248" s="282"/>
      <c r="C248" s="282"/>
      <c r="D248" s="282"/>
      <c r="E248" s="282"/>
      <c r="F248" s="408">
        <f>SUM(F244:F247)</f>
        <v>89916.9744</v>
      </c>
      <c r="G248" s="409" t="e">
        <f>SUM(G244:G247)</f>
        <v>#REF!</v>
      </c>
      <c r="H248" s="282"/>
      <c r="I248" s="282"/>
    </row>
    <row r="249" spans="1:9" ht="12" customHeight="1">
      <c r="A249" s="282"/>
      <c r="B249" s="282"/>
      <c r="C249" s="282"/>
      <c r="D249" s="282"/>
      <c r="E249" s="282"/>
      <c r="F249" s="282"/>
      <c r="G249" s="405"/>
      <c r="H249" s="282"/>
      <c r="I249" s="282"/>
    </row>
    <row r="250" spans="1:9" ht="12" customHeight="1" thickBot="1">
      <c r="A250" s="282"/>
      <c r="B250" s="282"/>
      <c r="C250" s="404" t="s">
        <v>358</v>
      </c>
      <c r="D250" s="282"/>
      <c r="E250" s="282"/>
      <c r="F250" s="410">
        <f>F230-F241-F248</f>
        <v>-202875.8857333333</v>
      </c>
      <c r="G250" s="411" t="e">
        <f>G230-G241-G248</f>
        <v>#REF!</v>
      </c>
      <c r="H250" s="282"/>
      <c r="I250" s="282"/>
    </row>
    <row r="251" spans="1:9" ht="12" customHeight="1">
      <c r="A251" s="282"/>
      <c r="B251" s="282"/>
      <c r="C251" s="282"/>
      <c r="D251" s="282"/>
      <c r="E251" s="282"/>
      <c r="F251" s="282"/>
      <c r="G251" s="282"/>
      <c r="H251" s="282"/>
      <c r="I251" s="282"/>
    </row>
    <row r="252" spans="1:9" ht="12" customHeight="1">
      <c r="A252" s="282"/>
      <c r="B252" s="282"/>
      <c r="C252" s="282" t="s">
        <v>359</v>
      </c>
      <c r="D252" s="282"/>
      <c r="E252" s="282"/>
      <c r="F252" s="282"/>
      <c r="G252" s="282"/>
      <c r="H252" s="282"/>
      <c r="I252" s="282"/>
    </row>
    <row r="253" spans="1:9" ht="12" customHeight="1">
      <c r="A253" s="282"/>
      <c r="B253" s="282"/>
      <c r="C253" s="282"/>
      <c r="D253" s="282"/>
      <c r="E253" s="282"/>
      <c r="F253" s="282"/>
      <c r="G253" s="282"/>
      <c r="H253" s="282"/>
      <c r="I253" s="282"/>
    </row>
    <row r="254" spans="1:9" ht="12" customHeight="1">
      <c r="A254" s="282"/>
      <c r="B254" s="282"/>
      <c r="C254" s="404" t="s">
        <v>360</v>
      </c>
      <c r="D254" s="282"/>
      <c r="E254" s="282"/>
      <c r="F254" s="282"/>
      <c r="G254" s="282" t="e">
        <f>G250-G252</f>
        <v>#REF!</v>
      </c>
      <c r="H254" s="282"/>
      <c r="I254" s="282"/>
    </row>
  </sheetData>
  <sheetProtection/>
  <printOptions/>
  <pageMargins left="0.47" right="0.3" top="0.63" bottom="0.6" header="0.5" footer="0.5"/>
  <pageSetup fitToHeight="4" horizontalDpi="300" verticalDpi="300" orientation="portrait" scale="59"/>
  <rowBreaks count="3" manualBreakCount="3">
    <brk id="69" max="255" man="1"/>
    <brk id="140" max="255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tabSelected="1" zoomScale="125" zoomScaleNormal="125" zoomScalePageLayoutView="0" workbookViewId="0" topLeftCell="A58">
      <selection activeCell="F187" sqref="F187"/>
    </sheetView>
  </sheetViews>
  <sheetFormatPr defaultColWidth="10.28125" defaultRowHeight="12" customHeight="1"/>
  <cols>
    <col min="1" max="1" width="11.8515625" style="317" customWidth="1"/>
    <col min="2" max="2" width="21.421875" style="317" customWidth="1"/>
    <col min="3" max="3" width="9.140625" style="317" customWidth="1"/>
    <col min="4" max="4" width="8.8515625" style="317" customWidth="1"/>
    <col min="5" max="5" width="9.421875" style="317" customWidth="1"/>
    <col min="6" max="6" width="13.00390625" style="317" customWidth="1"/>
    <col min="7" max="8" width="10.28125" style="317" customWidth="1"/>
    <col min="9" max="9" width="9.8515625" style="317" customWidth="1"/>
    <col min="10" max="10" width="9.140625" style="317" customWidth="1"/>
    <col min="11" max="11" width="19.8515625" style="317" bestFit="1" customWidth="1"/>
    <col min="12" max="12" width="13.421875" style="317" customWidth="1"/>
    <col min="13" max="13" width="9.8515625" style="317" customWidth="1"/>
    <col min="14" max="16384" width="10.28125" style="317" customWidth="1"/>
  </cols>
  <sheetData>
    <row r="1" spans="1:6" s="79" customFormat="1" ht="12" customHeight="1">
      <c r="A1" s="305" t="s">
        <v>0</v>
      </c>
      <c r="B1" s="306" t="s">
        <v>425</v>
      </c>
      <c r="C1" s="305"/>
      <c r="D1" s="307" t="s">
        <v>1</v>
      </c>
      <c r="E1" s="412"/>
      <c r="F1" s="308"/>
    </row>
    <row r="2" spans="1:6" s="79" customFormat="1" ht="12" customHeight="1">
      <c r="A2" s="309" t="s">
        <v>2</v>
      </c>
      <c r="B2" s="306" t="s">
        <v>426</v>
      </c>
      <c r="C2" s="8"/>
      <c r="D2" s="9" t="s">
        <v>3</v>
      </c>
      <c r="E2" s="310" t="s">
        <v>412</v>
      </c>
      <c r="F2" s="311"/>
    </row>
    <row r="3" spans="1:6" s="79" customFormat="1" ht="12" customHeight="1" thickBot="1">
      <c r="A3" s="309" t="s">
        <v>78</v>
      </c>
      <c r="B3" s="312"/>
      <c r="C3" s="313"/>
      <c r="D3" s="314"/>
      <c r="E3" s="315"/>
      <c r="F3" s="316"/>
    </row>
    <row r="4" ht="12" customHeight="1" thickBot="1">
      <c r="K4" s="318"/>
    </row>
    <row r="5" spans="1:11" ht="12" customHeight="1" thickBot="1">
      <c r="A5" s="19" t="s">
        <v>5</v>
      </c>
      <c r="B5" s="20" t="s">
        <v>6</v>
      </c>
      <c r="C5" s="21" t="s">
        <v>7</v>
      </c>
      <c r="D5" s="22"/>
      <c r="E5" s="22"/>
      <c r="F5" s="22"/>
      <c r="G5" s="23" t="s">
        <v>8</v>
      </c>
      <c r="H5" s="24" t="s">
        <v>10</v>
      </c>
      <c r="I5" s="25"/>
      <c r="J5" s="23" t="s">
        <v>8</v>
      </c>
      <c r="K5" s="26"/>
    </row>
    <row r="6" spans="1:11" ht="12" customHeight="1" thickBot="1">
      <c r="A6" s="27"/>
      <c r="B6" s="19" t="s">
        <v>11</v>
      </c>
      <c r="C6" s="28" t="s">
        <v>12</v>
      </c>
      <c r="D6" s="28" t="s">
        <v>13</v>
      </c>
      <c r="E6" s="28" t="s">
        <v>14</v>
      </c>
      <c r="F6" s="28" t="s">
        <v>15</v>
      </c>
      <c r="G6" s="29" t="s">
        <v>16</v>
      </c>
      <c r="H6" s="28" t="s">
        <v>17</v>
      </c>
      <c r="I6" s="31" t="s">
        <v>15</v>
      </c>
      <c r="J6" s="29" t="s">
        <v>18</v>
      </c>
      <c r="K6" s="32"/>
    </row>
    <row r="7" spans="1:11" ht="12" customHeight="1">
      <c r="A7" s="33" t="s">
        <v>19</v>
      </c>
      <c r="B7" s="33" t="s">
        <v>20</v>
      </c>
      <c r="C7" s="34">
        <f>$C$212</f>
        <v>7</v>
      </c>
      <c r="D7" s="34">
        <f aca="true" t="shared" si="0" ref="D7:D16">$C$209</f>
        <v>5</v>
      </c>
      <c r="E7" s="35">
        <f>$C$207</f>
        <v>500</v>
      </c>
      <c r="F7" s="35">
        <f aca="true" t="shared" si="1" ref="F7:G15">C7*E7</f>
        <v>3500</v>
      </c>
      <c r="G7" s="36">
        <f t="shared" si="1"/>
        <v>17500</v>
      </c>
      <c r="H7" s="35">
        <f>$C$207</f>
        <v>500</v>
      </c>
      <c r="I7" s="38">
        <f aca="true" t="shared" si="2" ref="I7:I16">C7*H7</f>
        <v>3500</v>
      </c>
      <c r="J7" s="39">
        <f>I7*$C$211</f>
        <v>14000</v>
      </c>
      <c r="K7" s="40"/>
    </row>
    <row r="8" spans="1:11" ht="12" customHeight="1">
      <c r="A8" s="41" t="s">
        <v>21</v>
      </c>
      <c r="B8" s="41" t="s">
        <v>22</v>
      </c>
      <c r="C8" s="42">
        <f>$F$220</f>
        <v>0</v>
      </c>
      <c r="D8" s="34">
        <f t="shared" si="0"/>
        <v>5</v>
      </c>
      <c r="E8" s="35">
        <f>$F$219</f>
        <v>60</v>
      </c>
      <c r="F8" s="35">
        <f t="shared" si="1"/>
        <v>0</v>
      </c>
      <c r="G8" s="36">
        <f t="shared" si="1"/>
        <v>0</v>
      </c>
      <c r="H8" s="35">
        <f>$F$219</f>
        <v>60</v>
      </c>
      <c r="I8" s="38">
        <f t="shared" si="2"/>
        <v>0</v>
      </c>
      <c r="J8" s="36">
        <f>$I$8*$C$211</f>
        <v>0</v>
      </c>
      <c r="K8" s="40"/>
    </row>
    <row r="9" spans="1:11" ht="12" customHeight="1">
      <c r="A9" s="41" t="s">
        <v>23</v>
      </c>
      <c r="B9" s="41" t="s">
        <v>24</v>
      </c>
      <c r="C9" s="42">
        <f>$F$221</f>
        <v>0</v>
      </c>
      <c r="D9" s="34">
        <f t="shared" si="0"/>
        <v>5</v>
      </c>
      <c r="E9" s="35">
        <f>$C$201</f>
        <v>37</v>
      </c>
      <c r="F9" s="35">
        <f t="shared" si="1"/>
        <v>0</v>
      </c>
      <c r="G9" s="36">
        <f t="shared" si="1"/>
        <v>0</v>
      </c>
      <c r="H9" s="35">
        <f>$C$201</f>
        <v>37</v>
      </c>
      <c r="I9" s="38">
        <f t="shared" si="2"/>
        <v>0</v>
      </c>
      <c r="J9" s="36">
        <f>$I$9*$C$211</f>
        <v>0</v>
      </c>
      <c r="K9" s="40"/>
    </row>
    <row r="10" spans="1:11" ht="12" customHeight="1">
      <c r="A10" s="41" t="s">
        <v>25</v>
      </c>
      <c r="B10" s="41" t="s">
        <v>26</v>
      </c>
      <c r="C10" s="34">
        <f aca="true" t="shared" si="3" ref="C10:C16">$C$212</f>
        <v>7</v>
      </c>
      <c r="D10" s="34">
        <f t="shared" si="0"/>
        <v>5</v>
      </c>
      <c r="E10" s="35">
        <f>SUM($E$7*$C$221)</f>
        <v>25</v>
      </c>
      <c r="F10" s="35">
        <f t="shared" si="1"/>
        <v>175</v>
      </c>
      <c r="G10" s="36">
        <f t="shared" si="1"/>
        <v>875</v>
      </c>
      <c r="H10" s="35">
        <f>SUM($E$7*$C$203)</f>
        <v>25</v>
      </c>
      <c r="I10" s="38">
        <f t="shared" si="2"/>
        <v>175</v>
      </c>
      <c r="J10" s="36">
        <f>$I$10*$C$211</f>
        <v>700</v>
      </c>
      <c r="K10" s="40"/>
    </row>
    <row r="11" spans="1:11" ht="12" customHeight="1">
      <c r="A11" s="41" t="s">
        <v>27</v>
      </c>
      <c r="B11" s="41" t="s">
        <v>28</v>
      </c>
      <c r="C11" s="34">
        <f t="shared" si="3"/>
        <v>7</v>
      </c>
      <c r="D11" s="34">
        <f t="shared" si="0"/>
        <v>5</v>
      </c>
      <c r="E11" s="35">
        <f>SUM($E$7*$F$212)</f>
        <v>41.65</v>
      </c>
      <c r="F11" s="35">
        <f t="shared" si="1"/>
        <v>291.55</v>
      </c>
      <c r="G11" s="36">
        <f t="shared" si="1"/>
        <v>1457.75</v>
      </c>
      <c r="H11" s="35">
        <f>SUM($E$7*$F$212)</f>
        <v>41.65</v>
      </c>
      <c r="I11" s="38">
        <f t="shared" si="2"/>
        <v>291.55</v>
      </c>
      <c r="J11" s="36">
        <f>$I$11*$C$211</f>
        <v>1166.2</v>
      </c>
      <c r="K11" s="40"/>
    </row>
    <row r="12" spans="1:11" ht="12" customHeight="1">
      <c r="A12" s="41"/>
      <c r="B12" s="41" t="s">
        <v>456</v>
      </c>
      <c r="C12" s="34">
        <f t="shared" si="3"/>
        <v>7</v>
      </c>
      <c r="D12" s="34">
        <f t="shared" si="0"/>
        <v>5</v>
      </c>
      <c r="E12" s="35">
        <f>SUM($E$7*$F$216)</f>
        <v>15</v>
      </c>
      <c r="F12" s="35">
        <f>C12*E12</f>
        <v>105</v>
      </c>
      <c r="G12" s="36">
        <f>D12*F12</f>
        <v>525</v>
      </c>
      <c r="H12" s="35">
        <f>SUM($E$7*$F$216)</f>
        <v>15</v>
      </c>
      <c r="I12" s="38">
        <f>C12*H12</f>
        <v>105</v>
      </c>
      <c r="J12" s="36">
        <f>$I$11*$C$211</f>
        <v>1166.2</v>
      </c>
      <c r="K12" s="40"/>
    </row>
    <row r="13" spans="1:11" ht="12" customHeight="1">
      <c r="A13" s="41" t="s">
        <v>29</v>
      </c>
      <c r="B13" s="41" t="s">
        <v>30</v>
      </c>
      <c r="C13" s="34">
        <f t="shared" si="3"/>
        <v>7</v>
      </c>
      <c r="D13" s="34">
        <f t="shared" si="0"/>
        <v>5</v>
      </c>
      <c r="E13" s="35">
        <f>SUM($E$7:$E$11)*$F$213</f>
        <v>84.9472</v>
      </c>
      <c r="F13" s="35">
        <f t="shared" si="1"/>
        <v>594.6304</v>
      </c>
      <c r="G13" s="36">
        <f t="shared" si="1"/>
        <v>2973.152</v>
      </c>
      <c r="H13" s="35">
        <f>SUM($H$7:$H$11)*$F$213</f>
        <v>84.9472</v>
      </c>
      <c r="I13" s="38">
        <f t="shared" si="2"/>
        <v>594.6304</v>
      </c>
      <c r="J13" s="36">
        <f>$I$13*$C$211</f>
        <v>2378.5216</v>
      </c>
      <c r="K13" s="40"/>
    </row>
    <row r="14" spans="1:11" ht="12" customHeight="1">
      <c r="A14" s="41" t="s">
        <v>31</v>
      </c>
      <c r="B14" s="41" t="s">
        <v>32</v>
      </c>
      <c r="C14" s="34">
        <f t="shared" si="3"/>
        <v>7</v>
      </c>
      <c r="D14" s="34">
        <f t="shared" si="0"/>
        <v>5</v>
      </c>
      <c r="E14" s="35">
        <f>$F$209</f>
        <v>200</v>
      </c>
      <c r="F14" s="35">
        <f t="shared" si="1"/>
        <v>1400</v>
      </c>
      <c r="G14" s="36">
        <f t="shared" si="1"/>
        <v>7000</v>
      </c>
      <c r="H14" s="35">
        <f>$F$209</f>
        <v>200</v>
      </c>
      <c r="I14" s="38">
        <f t="shared" si="2"/>
        <v>1400</v>
      </c>
      <c r="J14" s="36">
        <f>$I$14*$C$211</f>
        <v>5600</v>
      </c>
      <c r="K14" s="40"/>
    </row>
    <row r="15" spans="1:11" ht="12" customHeight="1">
      <c r="A15" s="41" t="s">
        <v>33</v>
      </c>
      <c r="B15" s="41" t="s">
        <v>34</v>
      </c>
      <c r="C15" s="34">
        <f t="shared" si="3"/>
        <v>7</v>
      </c>
      <c r="D15" s="34">
        <f t="shared" si="0"/>
        <v>5</v>
      </c>
      <c r="E15" s="35">
        <v>25</v>
      </c>
      <c r="F15" s="35">
        <f t="shared" si="1"/>
        <v>175</v>
      </c>
      <c r="G15" s="36">
        <f t="shared" si="1"/>
        <v>875</v>
      </c>
      <c r="H15" s="35">
        <v>25</v>
      </c>
      <c r="I15" s="38">
        <f t="shared" si="2"/>
        <v>175</v>
      </c>
      <c r="J15" s="36">
        <f>$I$15*$C$211</f>
        <v>700</v>
      </c>
      <c r="K15" s="40"/>
    </row>
    <row r="16" spans="1:11" ht="12" customHeight="1" thickBot="1">
      <c r="A16" s="41" t="s">
        <v>35</v>
      </c>
      <c r="B16" s="41" t="s">
        <v>36</v>
      </c>
      <c r="C16" s="34">
        <f t="shared" si="3"/>
        <v>7</v>
      </c>
      <c r="D16" s="34">
        <f t="shared" si="0"/>
        <v>5</v>
      </c>
      <c r="E16" s="35">
        <f>$C$220</f>
        <v>90</v>
      </c>
      <c r="F16" s="35">
        <f>C16*E16</f>
        <v>630</v>
      </c>
      <c r="G16" s="36">
        <f>F16</f>
        <v>630</v>
      </c>
      <c r="H16" s="35">
        <f>$C$220</f>
        <v>90</v>
      </c>
      <c r="I16" s="38">
        <f t="shared" si="2"/>
        <v>630</v>
      </c>
      <c r="J16" s="36">
        <f>I16</f>
        <v>630</v>
      </c>
      <c r="K16" s="40"/>
    </row>
    <row r="17" spans="1:11" ht="12" customHeight="1" thickBot="1">
      <c r="A17" s="43" t="s">
        <v>37</v>
      </c>
      <c r="B17" s="44" t="s">
        <v>38</v>
      </c>
      <c r="C17" s="45"/>
      <c r="D17" s="45"/>
      <c r="E17" s="46"/>
      <c r="F17" s="46">
        <f>SUM(F7:F16)</f>
        <v>6871.1804</v>
      </c>
      <c r="G17" s="47">
        <f>SUM(G7:G16)</f>
        <v>31835.902000000002</v>
      </c>
      <c r="H17" s="45"/>
      <c r="I17" s="49">
        <f>SUM(I7:I16)</f>
        <v>6871.1804</v>
      </c>
      <c r="J17" s="47">
        <f>SUM(J7:J16)</f>
        <v>26340.9216</v>
      </c>
      <c r="K17" s="40"/>
    </row>
    <row r="18" spans="1:11" ht="12" customHeight="1">
      <c r="A18" s="41" t="s">
        <v>39</v>
      </c>
      <c r="B18" s="41" t="s">
        <v>40</v>
      </c>
      <c r="C18" s="34">
        <f aca="true" t="shared" si="4" ref="C18:C24">$C$213</f>
        <v>4</v>
      </c>
      <c r="D18" s="34">
        <f aca="true" t="shared" si="5" ref="D18:D23">$C$210</f>
        <v>5</v>
      </c>
      <c r="E18" s="35">
        <f>$F$207</f>
        <v>500</v>
      </c>
      <c r="F18" s="35">
        <f aca="true" t="shared" si="6" ref="F18:G22">C18*E18</f>
        <v>2000</v>
      </c>
      <c r="G18" s="36">
        <f t="shared" si="6"/>
        <v>10000</v>
      </c>
      <c r="H18" s="35">
        <f>$F$207</f>
        <v>500</v>
      </c>
      <c r="I18" s="38">
        <f aca="true" t="shared" si="7" ref="I18:I23">C18*H18</f>
        <v>2000</v>
      </c>
      <c r="J18" s="39">
        <f aca="true" t="shared" si="8" ref="J18:J23">I18*$C$211</f>
        <v>8000</v>
      </c>
      <c r="K18" s="40"/>
    </row>
    <row r="19" spans="1:11" ht="12" customHeight="1">
      <c r="A19" s="41" t="s">
        <v>41</v>
      </c>
      <c r="B19" s="41" t="s">
        <v>42</v>
      </c>
      <c r="C19" s="34">
        <f t="shared" si="4"/>
        <v>4</v>
      </c>
      <c r="D19" s="34">
        <f t="shared" si="5"/>
        <v>5</v>
      </c>
      <c r="E19" s="35">
        <f>SUM($E$18*$C$222)</f>
        <v>25</v>
      </c>
      <c r="F19" s="35">
        <f t="shared" si="6"/>
        <v>100</v>
      </c>
      <c r="G19" s="36">
        <f t="shared" si="6"/>
        <v>500</v>
      </c>
      <c r="H19" s="35">
        <f>SUM($E$18*$F$222)</f>
        <v>25</v>
      </c>
      <c r="I19" s="38">
        <f t="shared" si="7"/>
        <v>100</v>
      </c>
      <c r="J19" s="39">
        <f t="shared" si="8"/>
        <v>400</v>
      </c>
      <c r="K19" s="40"/>
    </row>
    <row r="20" spans="1:11" ht="12" customHeight="1">
      <c r="A20" s="41" t="s">
        <v>43</v>
      </c>
      <c r="B20" s="41" t="s">
        <v>44</v>
      </c>
      <c r="C20" s="34">
        <f t="shared" si="4"/>
        <v>4</v>
      </c>
      <c r="D20" s="34">
        <f t="shared" si="5"/>
        <v>5</v>
      </c>
      <c r="E20" s="35">
        <f>SUM($E$18*$F$212)</f>
        <v>41.65</v>
      </c>
      <c r="F20" s="35">
        <f t="shared" si="6"/>
        <v>166.6</v>
      </c>
      <c r="G20" s="36">
        <f t="shared" si="6"/>
        <v>833</v>
      </c>
      <c r="H20" s="35">
        <f>SUM($E$18*$F$212)</f>
        <v>41.65</v>
      </c>
      <c r="I20" s="38">
        <f t="shared" si="7"/>
        <v>166.6</v>
      </c>
      <c r="J20" s="39">
        <f t="shared" si="8"/>
        <v>666.4</v>
      </c>
      <c r="K20" s="40"/>
    </row>
    <row r="21" spans="1:11" ht="12" customHeight="1">
      <c r="A21" s="41" t="s">
        <v>45</v>
      </c>
      <c r="B21" s="41" t="s">
        <v>46</v>
      </c>
      <c r="C21" s="34">
        <f t="shared" si="4"/>
        <v>4</v>
      </c>
      <c r="D21" s="34">
        <f t="shared" si="5"/>
        <v>5</v>
      </c>
      <c r="E21" s="35">
        <f>SUM($E$18:$E$20)*$F$213</f>
        <v>72.5312</v>
      </c>
      <c r="F21" s="35">
        <f t="shared" si="6"/>
        <v>290.1248</v>
      </c>
      <c r="G21" s="36">
        <f t="shared" si="6"/>
        <v>1450.624</v>
      </c>
      <c r="H21" s="35">
        <f>SUM($E$18:$E$20)*$F$213</f>
        <v>72.5312</v>
      </c>
      <c r="I21" s="38">
        <f t="shared" si="7"/>
        <v>290.1248</v>
      </c>
      <c r="J21" s="39">
        <f t="shared" si="8"/>
        <v>1160.4992</v>
      </c>
      <c r="K21" s="40"/>
    </row>
    <row r="22" spans="1:11" ht="12" customHeight="1">
      <c r="A22" s="41" t="s">
        <v>47</v>
      </c>
      <c r="B22" s="41" t="s">
        <v>48</v>
      </c>
      <c r="C22" s="34">
        <f t="shared" si="4"/>
        <v>4</v>
      </c>
      <c r="D22" s="34">
        <f t="shared" si="5"/>
        <v>5</v>
      </c>
      <c r="E22" s="35">
        <f>$F$208</f>
        <v>200</v>
      </c>
      <c r="F22" s="35">
        <f t="shared" si="6"/>
        <v>800</v>
      </c>
      <c r="G22" s="36">
        <f t="shared" si="6"/>
        <v>4000</v>
      </c>
      <c r="H22" s="35">
        <f>$F$208</f>
        <v>200</v>
      </c>
      <c r="I22" s="38">
        <f t="shared" si="7"/>
        <v>800</v>
      </c>
      <c r="J22" s="39">
        <f t="shared" si="8"/>
        <v>3200</v>
      </c>
      <c r="K22" s="40"/>
    </row>
    <row r="23" spans="1:11" ht="12" customHeight="1">
      <c r="A23" s="41" t="s">
        <v>49</v>
      </c>
      <c r="B23" s="41" t="s">
        <v>50</v>
      </c>
      <c r="C23" s="34">
        <f t="shared" si="4"/>
        <v>4</v>
      </c>
      <c r="D23" s="34">
        <f t="shared" si="5"/>
        <v>5</v>
      </c>
      <c r="E23" s="35">
        <f>$C$220</f>
        <v>90</v>
      </c>
      <c r="F23" s="35">
        <f>C23*E23</f>
        <v>360</v>
      </c>
      <c r="G23" s="36">
        <f>F23</f>
        <v>360</v>
      </c>
      <c r="H23" s="35">
        <f>$C$220</f>
        <v>90</v>
      </c>
      <c r="I23" s="38">
        <f t="shared" si="7"/>
        <v>360</v>
      </c>
      <c r="J23" s="36">
        <f t="shared" si="8"/>
        <v>1440</v>
      </c>
      <c r="K23" s="40"/>
    </row>
    <row r="24" spans="1:11" ht="12" customHeight="1" thickBot="1">
      <c r="A24" s="41" t="s">
        <v>51</v>
      </c>
      <c r="B24" s="41" t="s">
        <v>52</v>
      </c>
      <c r="C24" s="34">
        <f t="shared" si="4"/>
        <v>4</v>
      </c>
      <c r="D24" s="34"/>
      <c r="E24" s="35">
        <v>50</v>
      </c>
      <c r="F24" s="35">
        <f>C24*E24</f>
        <v>200</v>
      </c>
      <c r="G24" s="36">
        <f>F24</f>
        <v>200</v>
      </c>
      <c r="H24" s="35">
        <v>50</v>
      </c>
      <c r="I24" s="38"/>
      <c r="J24" s="36">
        <f>H24*C24</f>
        <v>200</v>
      </c>
      <c r="K24" s="40"/>
    </row>
    <row r="25" spans="1:11" ht="12" customHeight="1" thickBot="1">
      <c r="A25" s="43" t="s">
        <v>53</v>
      </c>
      <c r="B25" s="44" t="s">
        <v>54</v>
      </c>
      <c r="C25" s="45"/>
      <c r="D25" s="45"/>
      <c r="E25" s="46"/>
      <c r="F25" s="46">
        <f>SUM(F18:F23)</f>
        <v>3716.7248</v>
      </c>
      <c r="G25" s="47">
        <f>SUM(G18:G23)</f>
        <v>17143.624</v>
      </c>
      <c r="H25" s="45"/>
      <c r="I25" s="49">
        <f>SUM(I18:I23)</f>
        <v>3716.7248</v>
      </c>
      <c r="J25" s="47">
        <f>SUM(J18:J23)</f>
        <v>14866.8992</v>
      </c>
      <c r="K25" s="40"/>
    </row>
    <row r="26" spans="1:11" ht="12" customHeight="1">
      <c r="A26" s="41" t="s">
        <v>55</v>
      </c>
      <c r="B26" s="50" t="s">
        <v>56</v>
      </c>
      <c r="C26" s="51">
        <v>1</v>
      </c>
      <c r="D26" s="34">
        <f aca="true" t="shared" si="9" ref="D26:D31">$C$209</f>
        <v>5</v>
      </c>
      <c r="E26" s="35">
        <v>600</v>
      </c>
      <c r="F26" s="35">
        <f aca="true" t="shared" si="10" ref="F26:G30">C26*E26</f>
        <v>600</v>
      </c>
      <c r="G26" s="36">
        <f t="shared" si="10"/>
        <v>3000</v>
      </c>
      <c r="H26" s="35">
        <f>E26</f>
        <v>600</v>
      </c>
      <c r="I26" s="38">
        <f>C26*H26</f>
        <v>600</v>
      </c>
      <c r="J26" s="36">
        <f>$I$26*$C$211</f>
        <v>2400</v>
      </c>
      <c r="K26" s="40"/>
    </row>
    <row r="27" spans="1:11" ht="12" customHeight="1">
      <c r="A27" s="41" t="s">
        <v>55</v>
      </c>
      <c r="B27" s="50" t="s">
        <v>57</v>
      </c>
      <c r="C27" s="51">
        <v>1</v>
      </c>
      <c r="D27" s="34">
        <f t="shared" si="9"/>
        <v>5</v>
      </c>
      <c r="E27" s="35">
        <v>450</v>
      </c>
      <c r="F27" s="35">
        <f t="shared" si="10"/>
        <v>450</v>
      </c>
      <c r="G27" s="36">
        <f t="shared" si="10"/>
        <v>2250</v>
      </c>
      <c r="H27" s="35">
        <f>E27</f>
        <v>450</v>
      </c>
      <c r="I27" s="38">
        <f>C27*H27</f>
        <v>450</v>
      </c>
      <c r="J27" s="36">
        <f>$I$27*$C$211</f>
        <v>1800</v>
      </c>
      <c r="K27" s="40"/>
    </row>
    <row r="28" spans="1:11" ht="12" customHeight="1">
      <c r="A28" s="41" t="s">
        <v>55</v>
      </c>
      <c r="B28" s="50" t="s">
        <v>58</v>
      </c>
      <c r="C28" s="51">
        <v>2</v>
      </c>
      <c r="D28" s="34">
        <f t="shared" si="9"/>
        <v>5</v>
      </c>
      <c r="E28" s="35">
        <v>400</v>
      </c>
      <c r="F28" s="35">
        <f t="shared" si="10"/>
        <v>800</v>
      </c>
      <c r="G28" s="36">
        <f t="shared" si="10"/>
        <v>4000</v>
      </c>
      <c r="H28" s="35">
        <f>E28</f>
        <v>400</v>
      </c>
      <c r="I28" s="38">
        <f>C28*H28</f>
        <v>800</v>
      </c>
      <c r="J28" s="36">
        <f>$I$28*$C$211</f>
        <v>3200</v>
      </c>
      <c r="K28" s="40"/>
    </row>
    <row r="29" spans="1:11" ht="12" customHeight="1">
      <c r="A29" s="41" t="s">
        <v>59</v>
      </c>
      <c r="B29" s="50" t="s">
        <v>60</v>
      </c>
      <c r="C29" s="51">
        <f>SUM($C$26:$C$28)</f>
        <v>4</v>
      </c>
      <c r="D29" s="34">
        <f t="shared" si="9"/>
        <v>5</v>
      </c>
      <c r="E29" s="35">
        <f>$F$209</f>
        <v>200</v>
      </c>
      <c r="F29" s="35">
        <f t="shared" si="10"/>
        <v>800</v>
      </c>
      <c r="G29" s="36">
        <f t="shared" si="10"/>
        <v>4000</v>
      </c>
      <c r="H29" s="35">
        <f>$F$209</f>
        <v>200</v>
      </c>
      <c r="I29" s="38">
        <f>C29*H29</f>
        <v>800</v>
      </c>
      <c r="J29" s="36">
        <f>$I$29*$C$211</f>
        <v>3200</v>
      </c>
      <c r="K29" s="40"/>
    </row>
    <row r="30" spans="1:11" ht="12" customHeight="1">
      <c r="A30" s="41" t="s">
        <v>61</v>
      </c>
      <c r="B30" s="50" t="s">
        <v>62</v>
      </c>
      <c r="C30" s="51">
        <v>3</v>
      </c>
      <c r="D30" s="34">
        <f t="shared" si="9"/>
        <v>5</v>
      </c>
      <c r="E30" s="35">
        <f>SUM($E$26:$E$28)*$F$201</f>
        <v>145</v>
      </c>
      <c r="F30" s="35">
        <f t="shared" si="10"/>
        <v>435</v>
      </c>
      <c r="G30" s="36">
        <f t="shared" si="10"/>
        <v>2175</v>
      </c>
      <c r="H30" s="35">
        <f>SUM($E$26:$E$28)*$F$202</f>
        <v>145</v>
      </c>
      <c r="I30" s="38">
        <f>C30*H30</f>
        <v>435</v>
      </c>
      <c r="J30" s="36">
        <f>$I$30*$C$211</f>
        <v>1740</v>
      </c>
      <c r="K30" s="40"/>
    </row>
    <row r="31" spans="1:11" ht="12" customHeight="1" thickBot="1">
      <c r="A31" s="41" t="s">
        <v>63</v>
      </c>
      <c r="B31" s="52" t="s">
        <v>64</v>
      </c>
      <c r="C31" s="34">
        <v>0</v>
      </c>
      <c r="D31" s="34">
        <f t="shared" si="9"/>
        <v>5</v>
      </c>
      <c r="E31" s="35">
        <f>SUM($F$26:$F$30)*$F$213</f>
        <v>394.88</v>
      </c>
      <c r="F31" s="35">
        <f>E31</f>
        <v>394.88</v>
      </c>
      <c r="G31" s="36">
        <f>D31*F31</f>
        <v>1974.4</v>
      </c>
      <c r="H31" s="35">
        <f>SUM($I$26:$I$30)*$F$213</f>
        <v>394.88</v>
      </c>
      <c r="I31" s="38">
        <f>H31</f>
        <v>394.88</v>
      </c>
      <c r="J31" s="36">
        <f>H31*D31</f>
        <v>1974.4</v>
      </c>
      <c r="K31" s="40"/>
    </row>
    <row r="32" spans="1:11" ht="12" customHeight="1" thickBot="1">
      <c r="A32" s="43" t="s">
        <v>65</v>
      </c>
      <c r="B32" s="44" t="s">
        <v>66</v>
      </c>
      <c r="C32" s="45"/>
      <c r="D32" s="45"/>
      <c r="E32" s="46"/>
      <c r="F32" s="46">
        <f>SUM(F26:F31)</f>
        <v>3479.88</v>
      </c>
      <c r="G32" s="47">
        <f>SUM(G26:G31)</f>
        <v>17399.4</v>
      </c>
      <c r="H32" s="45">
        <f>SUM(H26:H31)</f>
        <v>2189.88</v>
      </c>
      <c r="I32" s="45">
        <f>SUM(I26:I31)</f>
        <v>3479.88</v>
      </c>
      <c r="J32" s="47">
        <f>SUM(J26:J31)</f>
        <v>14314.4</v>
      </c>
      <c r="K32" s="40"/>
    </row>
    <row r="33" spans="1:11" ht="12" customHeight="1">
      <c r="A33" s="41" t="s">
        <v>279</v>
      </c>
      <c r="B33" s="50" t="s">
        <v>444</v>
      </c>
      <c r="C33" s="51">
        <v>1</v>
      </c>
      <c r="D33" s="34">
        <f>$C$209</f>
        <v>5</v>
      </c>
      <c r="E33" s="35">
        <v>600</v>
      </c>
      <c r="F33" s="35">
        <f aca="true" t="shared" si="11" ref="F33:G39">C33*E33</f>
        <v>600</v>
      </c>
      <c r="G33" s="36">
        <f t="shared" si="11"/>
        <v>3000</v>
      </c>
      <c r="H33" s="34">
        <f>E33</f>
        <v>600</v>
      </c>
      <c r="I33" s="38">
        <f aca="true" t="shared" si="12" ref="I33:I39">C33*H33</f>
        <v>600</v>
      </c>
      <c r="J33" s="36">
        <f>$I$33*$C$211</f>
        <v>2400</v>
      </c>
      <c r="K33" s="40"/>
    </row>
    <row r="34" spans="1:11" ht="12" customHeight="1">
      <c r="A34" s="41" t="s">
        <v>279</v>
      </c>
      <c r="B34" s="50" t="s">
        <v>67</v>
      </c>
      <c r="C34" s="51">
        <v>1</v>
      </c>
      <c r="D34" s="34">
        <v>1</v>
      </c>
      <c r="E34" s="35">
        <v>600</v>
      </c>
      <c r="F34" s="35">
        <f t="shared" si="11"/>
        <v>600</v>
      </c>
      <c r="G34" s="36">
        <f t="shared" si="11"/>
        <v>600</v>
      </c>
      <c r="H34" s="34">
        <f>E34</f>
        <v>600</v>
      </c>
      <c r="I34" s="38">
        <f t="shared" si="12"/>
        <v>600</v>
      </c>
      <c r="J34" s="36">
        <f>H34*$C$211</f>
        <v>2400</v>
      </c>
      <c r="K34" s="40"/>
    </row>
    <row r="35" spans="1:11" ht="12" customHeight="1">
      <c r="A35" s="41"/>
      <c r="B35" s="50" t="s">
        <v>414</v>
      </c>
      <c r="C35" s="51">
        <v>1</v>
      </c>
      <c r="D35" s="34">
        <f>$C$209</f>
        <v>5</v>
      </c>
      <c r="E35" s="35">
        <v>600</v>
      </c>
      <c r="F35" s="35">
        <f t="shared" si="11"/>
        <v>600</v>
      </c>
      <c r="G35" s="36">
        <f t="shared" si="11"/>
        <v>3000</v>
      </c>
      <c r="H35" s="34">
        <v>0</v>
      </c>
      <c r="I35" s="38">
        <f t="shared" si="12"/>
        <v>0</v>
      </c>
      <c r="J35" s="36">
        <f>H35*$C$211</f>
        <v>0</v>
      </c>
      <c r="K35" s="40"/>
    </row>
    <row r="36" spans="1:11" ht="12" customHeight="1">
      <c r="A36" s="41"/>
      <c r="B36" s="50" t="s">
        <v>413</v>
      </c>
      <c r="C36" s="51">
        <v>1</v>
      </c>
      <c r="D36" s="34">
        <v>1</v>
      </c>
      <c r="E36" s="35">
        <v>400</v>
      </c>
      <c r="F36" s="35">
        <f t="shared" si="11"/>
        <v>400</v>
      </c>
      <c r="G36" s="36">
        <f t="shared" si="11"/>
        <v>400</v>
      </c>
      <c r="H36" s="34">
        <f>E36</f>
        <v>400</v>
      </c>
      <c r="I36" s="38">
        <f t="shared" si="12"/>
        <v>400</v>
      </c>
      <c r="J36" s="36">
        <f>H36*$C$211</f>
        <v>1600</v>
      </c>
      <c r="K36" s="40"/>
    </row>
    <row r="37" spans="1:11" ht="12" customHeight="1">
      <c r="A37" s="41" t="s">
        <v>280</v>
      </c>
      <c r="B37" s="50" t="s">
        <v>69</v>
      </c>
      <c r="C37" s="51">
        <v>1</v>
      </c>
      <c r="D37" s="34">
        <f>$C$209</f>
        <v>5</v>
      </c>
      <c r="E37" s="35">
        <v>600</v>
      </c>
      <c r="F37" s="35">
        <f t="shared" si="11"/>
        <v>600</v>
      </c>
      <c r="G37" s="36">
        <f t="shared" si="11"/>
        <v>3000</v>
      </c>
      <c r="H37" s="34">
        <f>E37</f>
        <v>600</v>
      </c>
      <c r="I37" s="38">
        <f>C37*H37</f>
        <v>600</v>
      </c>
      <c r="J37" s="36">
        <f>H37*$C$211</f>
        <v>2400</v>
      </c>
      <c r="K37" s="40"/>
    </row>
    <row r="38" spans="1:11" ht="12" customHeight="1">
      <c r="A38" s="41" t="s">
        <v>280</v>
      </c>
      <c r="B38" s="50" t="s">
        <v>70</v>
      </c>
      <c r="C38" s="51">
        <v>0</v>
      </c>
      <c r="D38" s="34"/>
      <c r="E38" s="35"/>
      <c r="F38" s="35">
        <f t="shared" si="11"/>
        <v>0</v>
      </c>
      <c r="G38" s="36">
        <f t="shared" si="11"/>
        <v>0</v>
      </c>
      <c r="H38" s="34"/>
      <c r="I38" s="38">
        <f t="shared" si="12"/>
        <v>0</v>
      </c>
      <c r="J38" s="36">
        <f>$I$38*$C$211</f>
        <v>0</v>
      </c>
      <c r="K38" s="40"/>
    </row>
    <row r="39" spans="1:11" ht="12" customHeight="1">
      <c r="A39" s="41" t="s">
        <v>281</v>
      </c>
      <c r="B39" s="60" t="s">
        <v>71</v>
      </c>
      <c r="C39" s="61">
        <v>0</v>
      </c>
      <c r="D39" s="62"/>
      <c r="E39" s="63"/>
      <c r="F39" s="63">
        <f t="shared" si="11"/>
        <v>0</v>
      </c>
      <c r="G39" s="36">
        <f t="shared" si="11"/>
        <v>0</v>
      </c>
      <c r="H39" s="62"/>
      <c r="I39" s="66">
        <f t="shared" si="12"/>
        <v>0</v>
      </c>
      <c r="J39" s="64">
        <f>$I$39*$C$211</f>
        <v>0</v>
      </c>
      <c r="K39" s="40"/>
    </row>
    <row r="40" spans="1:11" ht="12" customHeight="1">
      <c r="A40" s="41"/>
      <c r="B40" s="67"/>
      <c r="C40" s="68"/>
      <c r="D40" s="69"/>
      <c r="E40" s="70"/>
      <c r="F40" s="70">
        <f>SUM(F33:F39)</f>
        <v>2800</v>
      </c>
      <c r="G40" s="71">
        <f>SUM(G33:G39)</f>
        <v>10000</v>
      </c>
      <c r="H40" s="69">
        <f>SUM(H33:H39)</f>
        <v>2200</v>
      </c>
      <c r="I40" s="73">
        <f>SUM(I33:I39)</f>
        <v>2200</v>
      </c>
      <c r="J40" s="71">
        <f>SUM(J33:J39)</f>
        <v>8800</v>
      </c>
      <c r="K40" s="40"/>
    </row>
    <row r="41" spans="1:11" ht="12" customHeight="1">
      <c r="A41" s="41" t="s">
        <v>282</v>
      </c>
      <c r="B41" s="50" t="s">
        <v>419</v>
      </c>
      <c r="C41" s="35">
        <f>C204</f>
        <v>1</v>
      </c>
      <c r="D41" s="34">
        <f>$F$210</f>
        <v>1</v>
      </c>
      <c r="E41" s="35">
        <f>$F$204</f>
        <v>400</v>
      </c>
      <c r="F41" s="35">
        <f aca="true" t="shared" si="13" ref="F41:G44">C41*E41</f>
        <v>400</v>
      </c>
      <c r="G41" s="36">
        <f t="shared" si="13"/>
        <v>400</v>
      </c>
      <c r="H41" s="34">
        <f>E41</f>
        <v>400</v>
      </c>
      <c r="I41" s="38">
        <f>C41*H41</f>
        <v>400</v>
      </c>
      <c r="J41" s="36">
        <f>$I$41*$C$211</f>
        <v>1600</v>
      </c>
      <c r="K41" s="40"/>
    </row>
    <row r="42" spans="1:11" ht="12" customHeight="1">
      <c r="A42" s="41" t="s">
        <v>283</v>
      </c>
      <c r="B42" s="50" t="s">
        <v>73</v>
      </c>
      <c r="C42" s="74">
        <v>1</v>
      </c>
      <c r="D42" s="34">
        <f>$F$210</f>
        <v>1</v>
      </c>
      <c r="E42" s="35">
        <f>$F$205</f>
        <v>400</v>
      </c>
      <c r="F42" s="35">
        <f t="shared" si="13"/>
        <v>400</v>
      </c>
      <c r="G42" s="36">
        <f t="shared" si="13"/>
        <v>400</v>
      </c>
      <c r="H42" s="34">
        <f>E42</f>
        <v>400</v>
      </c>
      <c r="I42" s="38">
        <f>C42*H42</f>
        <v>400</v>
      </c>
      <c r="J42" s="36">
        <f>$I$42*$C$211</f>
        <v>1600</v>
      </c>
      <c r="K42" s="40"/>
    </row>
    <row r="43" spans="1:11" ht="12" customHeight="1">
      <c r="A43" s="41" t="s">
        <v>408</v>
      </c>
      <c r="B43" s="50" t="s">
        <v>409</v>
      </c>
      <c r="C43" s="74"/>
      <c r="D43" s="34"/>
      <c r="E43" s="35"/>
      <c r="F43" s="35"/>
      <c r="G43" s="36"/>
      <c r="H43" s="34"/>
      <c r="I43" s="38"/>
      <c r="J43" s="36"/>
      <c r="K43" s="40"/>
    </row>
    <row r="44" spans="1:11" ht="12" customHeight="1">
      <c r="A44" s="41" t="s">
        <v>284</v>
      </c>
      <c r="B44" s="50" t="s">
        <v>74</v>
      </c>
      <c r="C44" s="35">
        <f>SUM(C42+C41+C36+C34)</f>
        <v>4</v>
      </c>
      <c r="D44" s="34">
        <f>$F$210</f>
        <v>1</v>
      </c>
      <c r="E44" s="35">
        <f>SUM($E$41:$E$42)*$C$202</f>
        <v>80</v>
      </c>
      <c r="F44" s="35">
        <f t="shared" si="13"/>
        <v>320</v>
      </c>
      <c r="G44" s="36">
        <f t="shared" si="13"/>
        <v>320</v>
      </c>
      <c r="H44" s="35">
        <f>SUM($H$41:$H$42)*$F$203</f>
        <v>40</v>
      </c>
      <c r="I44" s="35">
        <f>SUM($I$41:$I$42)*$F$203</f>
        <v>40</v>
      </c>
      <c r="J44" s="36">
        <f>$I$44*$C$211</f>
        <v>160</v>
      </c>
      <c r="K44" s="40"/>
    </row>
    <row r="45" spans="1:11" ht="12" customHeight="1" thickBot="1">
      <c r="A45" s="41" t="s">
        <v>284</v>
      </c>
      <c r="B45" s="50" t="s">
        <v>75</v>
      </c>
      <c r="C45" s="35">
        <f>SUM(C41:C42)</f>
        <v>2</v>
      </c>
      <c r="D45" s="34">
        <f>$F$210</f>
        <v>1</v>
      </c>
      <c r="E45" s="35">
        <f>SUM($F$41:$F$44)*$F$213</f>
        <v>143.36</v>
      </c>
      <c r="F45" s="35">
        <f>E45</f>
        <v>143.36</v>
      </c>
      <c r="G45" s="36">
        <f>D45*F45</f>
        <v>143.36</v>
      </c>
      <c r="H45" s="34">
        <f>E45</f>
        <v>143.36</v>
      </c>
      <c r="I45" s="38">
        <f>H45</f>
        <v>143.36</v>
      </c>
      <c r="J45" s="36">
        <f>$I$45*$C$211</f>
        <v>573.44</v>
      </c>
      <c r="K45" s="40"/>
    </row>
    <row r="46" spans="1:11" ht="12" customHeight="1" thickBot="1">
      <c r="A46" s="75"/>
      <c r="B46" s="44" t="s">
        <v>76</v>
      </c>
      <c r="C46" s="45"/>
      <c r="D46" s="45"/>
      <c r="E46" s="46"/>
      <c r="F46" s="46">
        <f>SUM(F41:F45)</f>
        <v>1263.3600000000001</v>
      </c>
      <c r="G46" s="47">
        <f>SUM(G41:G45)</f>
        <v>1263.3600000000001</v>
      </c>
      <c r="H46" s="46">
        <f>SUM(H41:H45)</f>
        <v>983.36</v>
      </c>
      <c r="I46" s="76">
        <f>SUM(I41:I45)</f>
        <v>983.36</v>
      </c>
      <c r="J46" s="47">
        <f>SUM(J41:J45)</f>
        <v>3933.44</v>
      </c>
      <c r="K46" s="40"/>
    </row>
    <row r="47" spans="1:11" s="318" customFormat="1" ht="12" customHeight="1" thickBot="1">
      <c r="A47" s="77"/>
      <c r="B47" s="78"/>
      <c r="C47" s="79"/>
      <c r="D47" s="79"/>
      <c r="E47" s="40"/>
      <c r="F47" s="40"/>
      <c r="G47" s="80"/>
      <c r="H47" s="40"/>
      <c r="I47" s="40"/>
      <c r="J47" s="80"/>
      <c r="K47" s="40"/>
    </row>
    <row r="48" spans="1:11" ht="12" customHeight="1" thickBot="1">
      <c r="A48" s="75"/>
      <c r="B48" s="44" t="s">
        <v>77</v>
      </c>
      <c r="C48" s="45"/>
      <c r="D48" s="45"/>
      <c r="E48" s="46"/>
      <c r="F48" s="46">
        <f>F17+F25+F32+F40+F46</f>
        <v>18131.145200000003</v>
      </c>
      <c r="G48" s="47">
        <f>G17+G25+G32+G40+G46</f>
        <v>77642.28600000001</v>
      </c>
      <c r="H48" s="46">
        <f>H17+H25+H32+H40+H46</f>
        <v>5373.24</v>
      </c>
      <c r="I48" s="76">
        <f>I17+I25+I32+I40+I46</f>
        <v>17251.145200000003</v>
      </c>
      <c r="J48" s="81">
        <f>J17+J25+J32+J40+J46</f>
        <v>68255.6608</v>
      </c>
      <c r="K48" s="40"/>
    </row>
    <row r="49" spans="1:13" ht="12" customHeight="1" thickBot="1">
      <c r="A49" s="77"/>
      <c r="B49" s="78"/>
      <c r="C49" s="79"/>
      <c r="D49" s="79"/>
      <c r="E49" s="40"/>
      <c r="F49" s="80"/>
      <c r="G49" s="80"/>
      <c r="H49" s="80"/>
      <c r="I49" s="80"/>
      <c r="J49" s="80"/>
      <c r="K49" s="80"/>
      <c r="L49" s="80"/>
      <c r="M49" s="40"/>
    </row>
    <row r="50" spans="1:13" ht="12" customHeight="1" thickBot="1">
      <c r="A50" s="319" t="s">
        <v>78</v>
      </c>
      <c r="B50" s="320" t="s">
        <v>79</v>
      </c>
      <c r="C50" s="321"/>
      <c r="D50" s="321"/>
      <c r="E50" s="86" t="s">
        <v>80</v>
      </c>
      <c r="F50" s="87"/>
      <c r="G50" s="88" t="s">
        <v>81</v>
      </c>
      <c r="H50" s="88"/>
      <c r="I50" s="322"/>
      <c r="J50" s="88"/>
      <c r="K50" s="323"/>
      <c r="L50" s="323"/>
      <c r="M50" s="324"/>
    </row>
    <row r="51" spans="1:13" s="520" customFormat="1" ht="12" customHeight="1" thickBot="1">
      <c r="A51" s="42"/>
      <c r="B51" s="513"/>
      <c r="C51" s="514" t="s">
        <v>82</v>
      </c>
      <c r="D51" s="515" t="s">
        <v>83</v>
      </c>
      <c r="E51" s="514" t="s">
        <v>84</v>
      </c>
      <c r="F51" s="515" t="s">
        <v>83</v>
      </c>
      <c r="G51" s="514" t="s">
        <v>85</v>
      </c>
      <c r="H51" s="515" t="s">
        <v>83</v>
      </c>
      <c r="I51" s="516" t="s">
        <v>16</v>
      </c>
      <c r="J51" s="517" t="s">
        <v>83</v>
      </c>
      <c r="K51" s="518" t="s">
        <v>86</v>
      </c>
      <c r="L51" s="518"/>
      <c r="M51" s="519"/>
    </row>
    <row r="52" spans="1:13" s="503" customFormat="1" ht="12" customHeight="1">
      <c r="A52" s="504" t="s">
        <v>87</v>
      </c>
      <c r="B52" s="505" t="s">
        <v>88</v>
      </c>
      <c r="C52" s="506">
        <v>3000</v>
      </c>
      <c r="D52" s="507"/>
      <c r="E52" s="508"/>
      <c r="F52" s="509"/>
      <c r="G52" s="508"/>
      <c r="H52" s="509"/>
      <c r="I52" s="499">
        <f aca="true" t="shared" si="14" ref="I52:J70">SUM(C52+E52+G52)</f>
        <v>3000</v>
      </c>
      <c r="J52" s="500">
        <f t="shared" si="14"/>
        <v>0</v>
      </c>
      <c r="K52" s="510"/>
      <c r="L52" s="510"/>
      <c r="M52" s="511"/>
    </row>
    <row r="53" spans="1:13" s="503" customFormat="1" ht="12" customHeight="1">
      <c r="A53" s="495" t="s">
        <v>89</v>
      </c>
      <c r="B53" s="495" t="s">
        <v>90</v>
      </c>
      <c r="C53" s="496">
        <v>10000</v>
      </c>
      <c r="D53" s="512"/>
      <c r="E53" s="496">
        <f>8*100</f>
        <v>800</v>
      </c>
      <c r="F53" s="498"/>
      <c r="G53" s="496">
        <f>(5*200)</f>
        <v>1000</v>
      </c>
      <c r="H53" s="512"/>
      <c r="I53" s="499">
        <f t="shared" si="14"/>
        <v>11800</v>
      </c>
      <c r="J53" s="500">
        <f t="shared" si="14"/>
        <v>0</v>
      </c>
      <c r="K53" s="501" t="s">
        <v>429</v>
      </c>
      <c r="L53" s="501"/>
      <c r="M53" s="502"/>
    </row>
    <row r="54" spans="1:13" s="503" customFormat="1" ht="12" customHeight="1">
      <c r="A54" s="495" t="s">
        <v>111</v>
      </c>
      <c r="B54" s="495" t="s">
        <v>112</v>
      </c>
      <c r="C54" s="496">
        <v>5000</v>
      </c>
      <c r="D54" s="498"/>
      <c r="E54" s="496"/>
      <c r="F54" s="498"/>
      <c r="G54" s="496"/>
      <c r="H54" s="498"/>
      <c r="I54" s="499">
        <f>SUM(C54+E54+G54)</f>
        <v>5000</v>
      </c>
      <c r="J54" s="500">
        <f>SUM(D54+F54+H54)</f>
        <v>0</v>
      </c>
      <c r="K54" s="501" t="s">
        <v>430</v>
      </c>
      <c r="L54" s="501"/>
      <c r="M54" s="502"/>
    </row>
    <row r="55" spans="1:13" s="503" customFormat="1" ht="12" customHeight="1">
      <c r="A55" s="495" t="s">
        <v>91</v>
      </c>
      <c r="B55" s="495" t="s">
        <v>92</v>
      </c>
      <c r="C55" s="496">
        <v>7500</v>
      </c>
      <c r="D55" s="498"/>
      <c r="E55" s="496">
        <f>8*100</f>
        <v>800</v>
      </c>
      <c r="F55" s="498"/>
      <c r="G55" s="496">
        <f>(5*200)</f>
        <v>1000</v>
      </c>
      <c r="H55" s="498"/>
      <c r="I55" s="499">
        <f t="shared" si="14"/>
        <v>9300</v>
      </c>
      <c r="J55" s="500">
        <f t="shared" si="14"/>
        <v>0</v>
      </c>
      <c r="K55" s="501" t="s">
        <v>431</v>
      </c>
      <c r="L55" s="501"/>
      <c r="M55" s="502"/>
    </row>
    <row r="56" spans="1:13" s="503" customFormat="1" ht="12" customHeight="1">
      <c r="A56" s="495" t="s">
        <v>93</v>
      </c>
      <c r="B56" s="495" t="s">
        <v>450</v>
      </c>
      <c r="C56" s="496">
        <v>5000</v>
      </c>
      <c r="D56" s="497"/>
      <c r="E56" s="496">
        <v>500</v>
      </c>
      <c r="F56" s="498"/>
      <c r="G56" s="496">
        <v>500</v>
      </c>
      <c r="H56" s="498"/>
      <c r="I56" s="499">
        <f t="shared" si="14"/>
        <v>6000</v>
      </c>
      <c r="J56" s="500">
        <f t="shared" si="14"/>
        <v>0</v>
      </c>
      <c r="K56" s="501"/>
      <c r="L56" s="501"/>
      <c r="M56" s="502"/>
    </row>
    <row r="57" spans="1:13" s="503" customFormat="1" ht="12" customHeight="1">
      <c r="A57" s="495" t="s">
        <v>95</v>
      </c>
      <c r="B57" s="495" t="s">
        <v>96</v>
      </c>
      <c r="C57" s="496">
        <v>6000</v>
      </c>
      <c r="D57" s="497"/>
      <c r="E57" s="496">
        <f>8*100</f>
        <v>800</v>
      </c>
      <c r="F57" s="498"/>
      <c r="G57" s="496">
        <f>(5*200)</f>
        <v>1000</v>
      </c>
      <c r="H57" s="497"/>
      <c r="I57" s="499">
        <f t="shared" si="14"/>
        <v>7800</v>
      </c>
      <c r="J57" s="500">
        <f t="shared" si="14"/>
        <v>0</v>
      </c>
      <c r="K57" s="501"/>
      <c r="L57" s="501"/>
      <c r="M57" s="502"/>
    </row>
    <row r="58" spans="1:13" s="503" customFormat="1" ht="12" customHeight="1">
      <c r="A58" s="495" t="s">
        <v>97</v>
      </c>
      <c r="B58" s="495" t="s">
        <v>98</v>
      </c>
      <c r="C58" s="496">
        <v>700</v>
      </c>
      <c r="D58" s="497"/>
      <c r="E58" s="496">
        <v>300</v>
      </c>
      <c r="F58" s="498"/>
      <c r="G58" s="496"/>
      <c r="H58" s="498"/>
      <c r="I58" s="499">
        <f t="shared" si="14"/>
        <v>1000</v>
      </c>
      <c r="J58" s="500">
        <f t="shared" si="14"/>
        <v>0</v>
      </c>
      <c r="K58" s="501"/>
      <c r="L58" s="501"/>
      <c r="M58" s="502"/>
    </row>
    <row r="59" spans="1:13" s="503" customFormat="1" ht="12" customHeight="1">
      <c r="A59" s="495" t="s">
        <v>99</v>
      </c>
      <c r="B59" s="495" t="s">
        <v>100</v>
      </c>
      <c r="C59" s="496">
        <v>3000</v>
      </c>
      <c r="D59" s="497"/>
      <c r="E59" s="496">
        <f>5*100</f>
        <v>500</v>
      </c>
      <c r="F59" s="497"/>
      <c r="G59" s="496">
        <f>3*200</f>
        <v>600</v>
      </c>
      <c r="H59" s="497"/>
      <c r="I59" s="499">
        <f t="shared" si="14"/>
        <v>4100</v>
      </c>
      <c r="J59" s="500">
        <f t="shared" si="14"/>
        <v>0</v>
      </c>
      <c r="K59" s="501"/>
      <c r="L59" s="501"/>
      <c r="M59" s="502"/>
    </row>
    <row r="60" spans="1:13" s="503" customFormat="1" ht="12" customHeight="1">
      <c r="A60" s="495" t="s">
        <v>101</v>
      </c>
      <c r="B60" s="495" t="s">
        <v>102</v>
      </c>
      <c r="C60" s="496">
        <v>3000</v>
      </c>
      <c r="D60" s="498"/>
      <c r="E60" s="496">
        <f>5*100</f>
        <v>500</v>
      </c>
      <c r="F60" s="498"/>
      <c r="G60" s="496">
        <f>3*200</f>
        <v>600</v>
      </c>
      <c r="H60" s="498"/>
      <c r="I60" s="499">
        <f t="shared" si="14"/>
        <v>4100</v>
      </c>
      <c r="J60" s="500">
        <f t="shared" si="14"/>
        <v>0</v>
      </c>
      <c r="K60" s="501"/>
      <c r="L60" s="501"/>
      <c r="M60" s="502"/>
    </row>
    <row r="61" spans="1:13" s="503" customFormat="1" ht="12" customHeight="1">
      <c r="A61" s="495" t="s">
        <v>103</v>
      </c>
      <c r="B61" s="495" t="s">
        <v>451</v>
      </c>
      <c r="C61" s="496">
        <v>5000</v>
      </c>
      <c r="D61" s="498"/>
      <c r="E61" s="496">
        <f>5*100</f>
        <v>500</v>
      </c>
      <c r="F61" s="498"/>
      <c r="G61" s="496">
        <f>3*200</f>
        <v>600</v>
      </c>
      <c r="H61" s="498"/>
      <c r="I61" s="499">
        <f t="shared" si="14"/>
        <v>6100</v>
      </c>
      <c r="J61" s="500">
        <f t="shared" si="14"/>
        <v>0</v>
      </c>
      <c r="K61" s="501"/>
      <c r="L61" s="501"/>
      <c r="M61" s="502"/>
    </row>
    <row r="62" spans="1:13" s="503" customFormat="1" ht="10.5" customHeight="1">
      <c r="A62" s="495" t="s">
        <v>105</v>
      </c>
      <c r="B62" s="495" t="s">
        <v>106</v>
      </c>
      <c r="C62" s="496">
        <v>700</v>
      </c>
      <c r="D62" s="497"/>
      <c r="E62" s="496">
        <v>300</v>
      </c>
      <c r="F62" s="497"/>
      <c r="G62" s="496">
        <f>2*200</f>
        <v>400</v>
      </c>
      <c r="H62" s="498"/>
      <c r="I62" s="499">
        <f t="shared" si="14"/>
        <v>1400</v>
      </c>
      <c r="J62" s="500">
        <f t="shared" si="14"/>
        <v>0</v>
      </c>
      <c r="K62" s="501"/>
      <c r="L62" s="501"/>
      <c r="M62" s="502"/>
    </row>
    <row r="63" spans="1:13" s="503" customFormat="1" ht="12" customHeight="1">
      <c r="A63" s="495" t="s">
        <v>107</v>
      </c>
      <c r="B63" s="495" t="s">
        <v>108</v>
      </c>
      <c r="C63" s="496"/>
      <c r="D63" s="497"/>
      <c r="E63" s="496"/>
      <c r="F63" s="498"/>
      <c r="G63" s="496"/>
      <c r="H63" s="498"/>
      <c r="I63" s="499">
        <f t="shared" si="14"/>
        <v>0</v>
      </c>
      <c r="J63" s="500">
        <f t="shared" si="14"/>
        <v>0</v>
      </c>
      <c r="K63" s="501"/>
      <c r="L63" s="501"/>
      <c r="M63" s="502"/>
    </row>
    <row r="64" spans="1:13" s="503" customFormat="1" ht="12" customHeight="1">
      <c r="A64" s="495" t="s">
        <v>109</v>
      </c>
      <c r="B64" s="495" t="s">
        <v>110</v>
      </c>
      <c r="C64" s="496">
        <v>2500</v>
      </c>
      <c r="D64" s="498"/>
      <c r="E64" s="496"/>
      <c r="F64" s="498"/>
      <c r="G64" s="496"/>
      <c r="H64" s="498"/>
      <c r="I64" s="499">
        <f t="shared" si="14"/>
        <v>2500</v>
      </c>
      <c r="J64" s="500">
        <f t="shared" si="14"/>
        <v>0</v>
      </c>
      <c r="K64" s="501"/>
      <c r="L64" s="501"/>
      <c r="M64" s="502"/>
    </row>
    <row r="65" spans="1:13" s="520" customFormat="1" ht="12" customHeight="1">
      <c r="A65" s="42" t="s">
        <v>147</v>
      </c>
      <c r="B65" s="42" t="s">
        <v>113</v>
      </c>
      <c r="C65" s="522">
        <v>0</v>
      </c>
      <c r="D65" s="526"/>
      <c r="E65" s="522"/>
      <c r="F65" s="523"/>
      <c r="G65" s="522"/>
      <c r="H65" s="523"/>
      <c r="I65" s="521">
        <f t="shared" si="14"/>
        <v>0</v>
      </c>
      <c r="J65" s="335">
        <f t="shared" si="14"/>
        <v>0</v>
      </c>
      <c r="K65" s="524"/>
      <c r="L65" s="524"/>
      <c r="M65" s="525"/>
    </row>
    <row r="66" spans="1:13" s="520" customFormat="1" ht="12" customHeight="1">
      <c r="A66" s="42" t="s">
        <v>114</v>
      </c>
      <c r="B66" s="42" t="s">
        <v>115</v>
      </c>
      <c r="C66" s="522"/>
      <c r="D66" s="526"/>
      <c r="E66" s="522"/>
      <c r="F66" s="523"/>
      <c r="G66" s="522">
        <v>250</v>
      </c>
      <c r="H66" s="523"/>
      <c r="I66" s="521">
        <f t="shared" si="14"/>
        <v>250</v>
      </c>
      <c r="J66" s="335">
        <f t="shared" si="14"/>
        <v>0</v>
      </c>
      <c r="K66" s="524"/>
      <c r="L66" s="524"/>
      <c r="M66" s="525"/>
    </row>
    <row r="67" spans="1:13" s="520" customFormat="1" ht="12" customHeight="1">
      <c r="A67" s="42"/>
      <c r="B67" s="42" t="s">
        <v>462</v>
      </c>
      <c r="C67" s="522">
        <v>3000</v>
      </c>
      <c r="D67" s="526"/>
      <c r="E67" s="522">
        <v>300</v>
      </c>
      <c r="F67" s="523"/>
      <c r="G67" s="522"/>
      <c r="H67" s="523"/>
      <c r="I67" s="521">
        <f t="shared" si="14"/>
        <v>3300</v>
      </c>
      <c r="J67" s="335"/>
      <c r="K67" s="524" t="s">
        <v>463</v>
      </c>
      <c r="L67" s="524"/>
      <c r="M67" s="525"/>
    </row>
    <row r="68" spans="1:13" s="520" customFormat="1" ht="12" customHeight="1">
      <c r="A68" s="42"/>
      <c r="B68" s="42" t="s">
        <v>449</v>
      </c>
      <c r="C68" s="522">
        <v>5000</v>
      </c>
      <c r="D68" s="526"/>
      <c r="E68" s="522"/>
      <c r="F68" s="523"/>
      <c r="G68" s="522"/>
      <c r="H68" s="523"/>
      <c r="I68" s="521">
        <f t="shared" si="14"/>
        <v>5000</v>
      </c>
      <c r="J68" s="335"/>
      <c r="K68" s="524"/>
      <c r="L68" s="524"/>
      <c r="M68" s="525"/>
    </row>
    <row r="69" spans="1:13" s="503" customFormat="1" ht="12" customHeight="1">
      <c r="A69" s="495"/>
      <c r="B69" s="495" t="s">
        <v>441</v>
      </c>
      <c r="C69" s="496">
        <v>5000</v>
      </c>
      <c r="D69" s="497"/>
      <c r="E69" s="496"/>
      <c r="F69" s="498"/>
      <c r="G69" s="496">
        <v>1000</v>
      </c>
      <c r="H69" s="498"/>
      <c r="I69" s="499">
        <f t="shared" si="14"/>
        <v>6000</v>
      </c>
      <c r="J69" s="500"/>
      <c r="K69" s="501"/>
      <c r="L69" s="501"/>
      <c r="M69" s="502"/>
    </row>
    <row r="70" spans="1:13" s="520" customFormat="1" ht="12" customHeight="1" thickBot="1">
      <c r="A70" s="42"/>
      <c r="B70" s="527" t="s">
        <v>420</v>
      </c>
      <c r="C70" s="528"/>
      <c r="D70" s="529"/>
      <c r="E70" s="528"/>
      <c r="F70" s="529"/>
      <c r="G70" s="528"/>
      <c r="H70" s="529"/>
      <c r="I70" s="521">
        <v>4000</v>
      </c>
      <c r="J70" s="335">
        <f t="shared" si="14"/>
        <v>0</v>
      </c>
      <c r="K70" s="524"/>
      <c r="L70" s="530"/>
      <c r="M70" s="531"/>
    </row>
    <row r="71" spans="1:16" ht="12" customHeight="1" thickBot="1">
      <c r="A71" s="345"/>
      <c r="B71" s="346"/>
      <c r="C71" s="346">
        <f>SUM(C52:C70)</f>
        <v>64400</v>
      </c>
      <c r="D71" s="347"/>
      <c r="E71" s="346">
        <f>SUM(E53:E70)</f>
        <v>5300</v>
      </c>
      <c r="F71" s="347"/>
      <c r="G71" s="346">
        <f>SUM(G53:G70)</f>
        <v>6950</v>
      </c>
      <c r="H71" s="347"/>
      <c r="I71" s="348">
        <f>SUM(I51:I70)</f>
        <v>80650</v>
      </c>
      <c r="J71" s="349">
        <f>SUM(J51:J70)</f>
        <v>0</v>
      </c>
      <c r="K71" s="350"/>
      <c r="L71" s="350"/>
      <c r="M71" s="351"/>
      <c r="N71" s="352"/>
      <c r="O71" s="352"/>
      <c r="P71" s="353"/>
    </row>
    <row r="73" spans="10:13" ht="12" customHeight="1" thickBot="1">
      <c r="J73" s="318"/>
      <c r="K73" s="318"/>
      <c r="L73" s="318"/>
      <c r="M73" s="318"/>
    </row>
    <row r="74" spans="1:12" ht="12" customHeight="1" thickBot="1">
      <c r="A74" s="133" t="s">
        <v>78</v>
      </c>
      <c r="B74" s="134" t="s">
        <v>117</v>
      </c>
      <c r="C74" s="21" t="s">
        <v>8</v>
      </c>
      <c r="D74" s="22"/>
      <c r="E74" s="328" t="s">
        <v>86</v>
      </c>
      <c r="F74" s="328"/>
      <c r="G74" s="328"/>
      <c r="H74" s="324"/>
      <c r="I74" s="354"/>
      <c r="J74" s="354"/>
      <c r="K74" s="354"/>
      <c r="L74" s="354"/>
    </row>
    <row r="75" spans="1:12" ht="12" customHeight="1">
      <c r="A75" s="137"/>
      <c r="B75" s="33" t="s">
        <v>118</v>
      </c>
      <c r="C75" s="138">
        <f>G17</f>
        <v>31835.902000000002</v>
      </c>
      <c r="D75" s="139"/>
      <c r="E75" s="355"/>
      <c r="F75" s="355"/>
      <c r="G75" s="355"/>
      <c r="H75" s="356"/>
      <c r="I75" s="343"/>
      <c r="J75" s="343"/>
      <c r="K75" s="343"/>
      <c r="L75" s="318"/>
    </row>
    <row r="76" spans="1:12" ht="12" customHeight="1">
      <c r="A76" s="137"/>
      <c r="B76" s="33" t="s">
        <v>119</v>
      </c>
      <c r="C76" s="145">
        <f>G25</f>
        <v>17143.624</v>
      </c>
      <c r="D76" s="146"/>
      <c r="E76" s="343"/>
      <c r="F76" s="343"/>
      <c r="G76" s="343"/>
      <c r="H76" s="344"/>
      <c r="I76" s="343"/>
      <c r="J76" s="343"/>
      <c r="K76" s="343"/>
      <c r="L76" s="318"/>
    </row>
    <row r="77" spans="1:12" ht="12" customHeight="1">
      <c r="A77" s="137"/>
      <c r="B77" s="33" t="s">
        <v>120</v>
      </c>
      <c r="C77" s="145">
        <f>G32</f>
        <v>17399.4</v>
      </c>
      <c r="D77" s="146"/>
      <c r="E77" s="343"/>
      <c r="F77" s="343"/>
      <c r="G77" s="343"/>
      <c r="H77" s="344"/>
      <c r="I77" s="343"/>
      <c r="J77" s="343"/>
      <c r="K77" s="343"/>
      <c r="L77" s="318"/>
    </row>
    <row r="78" spans="1:12" ht="12" customHeight="1">
      <c r="A78" s="137"/>
      <c r="B78" s="33" t="s">
        <v>121</v>
      </c>
      <c r="C78" s="145">
        <f>G40</f>
        <v>10000</v>
      </c>
      <c r="D78" s="146"/>
      <c r="E78" s="343"/>
      <c r="F78" s="343"/>
      <c r="G78" s="343"/>
      <c r="H78" s="344"/>
      <c r="I78" s="343"/>
      <c r="J78" s="343"/>
      <c r="K78" s="343"/>
      <c r="L78" s="318"/>
    </row>
    <row r="79" spans="1:12" ht="12" customHeight="1">
      <c r="A79" s="137"/>
      <c r="B79" s="41" t="s">
        <v>122</v>
      </c>
      <c r="C79" s="145">
        <f>I71</f>
        <v>80650</v>
      </c>
      <c r="D79" s="146"/>
      <c r="E79" s="343"/>
      <c r="F79" s="343"/>
      <c r="G79" s="343"/>
      <c r="H79" s="344"/>
      <c r="I79" s="343"/>
      <c r="J79" s="343"/>
      <c r="K79" s="343"/>
      <c r="L79" s="318"/>
    </row>
    <row r="80" spans="1:12" ht="12" customHeight="1">
      <c r="A80" s="137"/>
      <c r="B80" s="41" t="s">
        <v>123</v>
      </c>
      <c r="C80" s="145">
        <f>G46</f>
        <v>1263.3600000000001</v>
      </c>
      <c r="D80" s="146"/>
      <c r="E80" s="343"/>
      <c r="F80" s="343"/>
      <c r="G80" s="343"/>
      <c r="H80" s="344"/>
      <c r="I80" s="343"/>
      <c r="J80" s="343"/>
      <c r="K80" s="343"/>
      <c r="L80" s="318"/>
    </row>
    <row r="81" spans="1:12" ht="12" customHeight="1">
      <c r="A81" s="137" t="s">
        <v>285</v>
      </c>
      <c r="B81" s="78" t="s">
        <v>346</v>
      </c>
      <c r="C81" s="145">
        <v>7000</v>
      </c>
      <c r="D81" s="146"/>
      <c r="E81" s="159"/>
      <c r="F81" s="343"/>
      <c r="G81" s="343"/>
      <c r="H81" s="344"/>
      <c r="I81" s="343"/>
      <c r="J81" s="343"/>
      <c r="K81" s="343"/>
      <c r="L81" s="318"/>
    </row>
    <row r="82" spans="1:12" ht="12" customHeight="1">
      <c r="A82" s="137" t="s">
        <v>345</v>
      </c>
      <c r="B82" s="78" t="s">
        <v>347</v>
      </c>
      <c r="C82" s="145"/>
      <c r="D82" s="146"/>
      <c r="E82" s="159"/>
      <c r="F82" s="343"/>
      <c r="G82" s="343"/>
      <c r="H82" s="344"/>
      <c r="I82" s="343"/>
      <c r="J82" s="343"/>
      <c r="K82" s="343"/>
      <c r="L82" s="318"/>
    </row>
    <row r="83" spans="1:12" ht="12" customHeight="1">
      <c r="A83" s="137" t="s">
        <v>286</v>
      </c>
      <c r="B83" s="78" t="s">
        <v>348</v>
      </c>
      <c r="D83" s="146"/>
      <c r="E83" s="343"/>
      <c r="F83" s="343"/>
      <c r="G83" s="343"/>
      <c r="H83" s="344"/>
      <c r="I83" s="343"/>
      <c r="J83" s="343"/>
      <c r="K83" s="343"/>
      <c r="L83" s="318"/>
    </row>
    <row r="84" spans="1:12" ht="12" customHeight="1">
      <c r="A84" s="137" t="s">
        <v>344</v>
      </c>
      <c r="B84" s="78" t="s">
        <v>349</v>
      </c>
      <c r="D84" s="146"/>
      <c r="E84" s="343"/>
      <c r="F84" s="343"/>
      <c r="G84" s="343"/>
      <c r="H84" s="344"/>
      <c r="I84" s="343"/>
      <c r="J84" s="343"/>
      <c r="K84" s="343"/>
      <c r="L84" s="318"/>
    </row>
    <row r="85" spans="1:12" ht="12" customHeight="1">
      <c r="A85" s="137"/>
      <c r="B85" s="78"/>
      <c r="C85" s="145"/>
      <c r="D85" s="146"/>
      <c r="E85" s="343"/>
      <c r="F85" s="343"/>
      <c r="G85" s="343"/>
      <c r="H85" s="344"/>
      <c r="I85" s="343"/>
      <c r="J85" s="343"/>
      <c r="K85" s="343"/>
      <c r="L85" s="318"/>
    </row>
    <row r="86" spans="1:12" ht="12" customHeight="1">
      <c r="A86" s="137" t="s">
        <v>287</v>
      </c>
      <c r="B86" s="78" t="s">
        <v>124</v>
      </c>
      <c r="C86" s="145">
        <v>2000</v>
      </c>
      <c r="D86" s="146"/>
      <c r="E86" s="343"/>
      <c r="F86" s="343"/>
      <c r="G86" s="343"/>
      <c r="H86" s="344"/>
      <c r="I86" s="343"/>
      <c r="J86" s="343"/>
      <c r="K86" s="343"/>
      <c r="L86" s="318"/>
    </row>
    <row r="87" spans="1:12" ht="12" customHeight="1">
      <c r="A87" s="137" t="s">
        <v>288</v>
      </c>
      <c r="B87" s="78" t="s">
        <v>125</v>
      </c>
      <c r="C87" s="145"/>
      <c r="D87" s="146"/>
      <c r="E87" s="343"/>
      <c r="F87" s="343"/>
      <c r="G87" s="343"/>
      <c r="H87" s="344"/>
      <c r="I87" s="343"/>
      <c r="J87" s="343"/>
      <c r="K87" s="343"/>
      <c r="L87" s="318"/>
    </row>
    <row r="88" spans="1:12" ht="12" customHeight="1">
      <c r="A88" s="137" t="s">
        <v>289</v>
      </c>
      <c r="B88" s="78" t="s">
        <v>126</v>
      </c>
      <c r="C88" s="145"/>
      <c r="D88" s="146"/>
      <c r="E88" s="343"/>
      <c r="F88" s="343"/>
      <c r="G88" s="343"/>
      <c r="H88" s="344"/>
      <c r="I88" s="343"/>
      <c r="J88" s="343"/>
      <c r="K88" s="343"/>
      <c r="L88" s="318"/>
    </row>
    <row r="89" spans="1:12" ht="12" customHeight="1">
      <c r="A89" s="137" t="s">
        <v>290</v>
      </c>
      <c r="B89" s="78" t="s">
        <v>127</v>
      </c>
      <c r="C89" s="145"/>
      <c r="D89" s="146"/>
      <c r="E89" s="343"/>
      <c r="F89" s="343"/>
      <c r="G89" s="343"/>
      <c r="H89" s="344"/>
      <c r="I89" s="343"/>
      <c r="J89" s="343"/>
      <c r="K89" s="343"/>
      <c r="L89" s="318"/>
    </row>
    <row r="90" spans="1:12" ht="12" customHeight="1">
      <c r="A90" s="137" t="s">
        <v>406</v>
      </c>
      <c r="B90" s="78"/>
      <c r="C90" s="145"/>
      <c r="D90" s="146"/>
      <c r="E90" s="343"/>
      <c r="F90" s="343"/>
      <c r="G90" s="343"/>
      <c r="H90" s="344"/>
      <c r="I90" s="343"/>
      <c r="J90" s="343"/>
      <c r="K90" s="343"/>
      <c r="L90" s="318"/>
    </row>
    <row r="91" spans="1:12" ht="12" customHeight="1">
      <c r="A91" s="137" t="s">
        <v>304</v>
      </c>
      <c r="B91" s="78" t="s">
        <v>305</v>
      </c>
      <c r="C91" s="145"/>
      <c r="D91" s="146"/>
      <c r="E91" s="343"/>
      <c r="F91" s="343"/>
      <c r="G91" s="343"/>
      <c r="H91" s="344"/>
      <c r="I91" s="343"/>
      <c r="J91" s="343"/>
      <c r="K91" s="343"/>
      <c r="L91" s="318"/>
    </row>
    <row r="92" spans="1:12" ht="12" customHeight="1">
      <c r="A92" s="137" t="s">
        <v>309</v>
      </c>
      <c r="B92" s="78" t="s">
        <v>306</v>
      </c>
      <c r="C92" s="145"/>
      <c r="D92" s="146"/>
      <c r="E92" s="343"/>
      <c r="F92" s="343"/>
      <c r="G92" s="343"/>
      <c r="H92" s="344"/>
      <c r="I92" s="343"/>
      <c r="J92" s="343"/>
      <c r="K92" s="343"/>
      <c r="L92" s="318"/>
    </row>
    <row r="93" spans="1:12" ht="12" customHeight="1">
      <c r="A93" s="137" t="s">
        <v>310</v>
      </c>
      <c r="B93" s="78" t="s">
        <v>307</v>
      </c>
      <c r="C93" s="145"/>
      <c r="D93" s="146"/>
      <c r="E93" s="343"/>
      <c r="F93" s="343"/>
      <c r="G93" s="343"/>
      <c r="H93" s="344"/>
      <c r="I93" s="343"/>
      <c r="J93" s="343"/>
      <c r="K93" s="343"/>
      <c r="L93" s="318"/>
    </row>
    <row r="94" spans="1:12" ht="12" customHeight="1">
      <c r="A94" s="137" t="s">
        <v>311</v>
      </c>
      <c r="B94" s="148" t="s">
        <v>308</v>
      </c>
      <c r="C94" s="145"/>
      <c r="D94" s="146"/>
      <c r="E94" s="149"/>
      <c r="F94" s="149"/>
      <c r="G94" s="149"/>
      <c r="H94" s="150"/>
      <c r="I94" s="343"/>
      <c r="J94" s="343"/>
      <c r="K94" s="343"/>
      <c r="L94" s="318"/>
    </row>
    <row r="95" spans="1:12" ht="12" customHeight="1">
      <c r="A95" s="137"/>
      <c r="C95" s="145"/>
      <c r="D95" s="146"/>
      <c r="E95" s="343"/>
      <c r="F95" s="343"/>
      <c r="G95" s="343"/>
      <c r="H95" s="344"/>
      <c r="I95" s="343"/>
      <c r="J95" s="343"/>
      <c r="K95" s="343"/>
      <c r="L95" s="318"/>
    </row>
    <row r="96" spans="1:12" ht="12" customHeight="1">
      <c r="A96" s="137" t="s">
        <v>312</v>
      </c>
      <c r="B96" s="78" t="s">
        <v>128</v>
      </c>
      <c r="C96" s="145">
        <v>1000</v>
      </c>
      <c r="D96" s="146"/>
      <c r="E96" s="343"/>
      <c r="F96" s="343"/>
      <c r="G96" s="343"/>
      <c r="H96" s="344"/>
      <c r="I96" s="343"/>
      <c r="J96" s="343"/>
      <c r="K96" s="343"/>
      <c r="L96" s="318"/>
    </row>
    <row r="97" spans="1:12" ht="12" customHeight="1">
      <c r="A97" s="137" t="s">
        <v>313</v>
      </c>
      <c r="B97" s="78" t="s">
        <v>129</v>
      </c>
      <c r="C97" s="145"/>
      <c r="D97" s="146"/>
      <c r="E97" s="343"/>
      <c r="F97" s="343"/>
      <c r="G97" s="343"/>
      <c r="H97" s="344"/>
      <c r="I97" s="343"/>
      <c r="J97" s="343"/>
      <c r="K97" s="343"/>
      <c r="L97" s="318"/>
    </row>
    <row r="98" spans="1:12" ht="12" customHeight="1">
      <c r="A98" s="137" t="s">
        <v>314</v>
      </c>
      <c r="B98" s="78" t="s">
        <v>291</v>
      </c>
      <c r="C98" s="145"/>
      <c r="D98" s="146"/>
      <c r="E98" s="343"/>
      <c r="F98" s="343"/>
      <c r="G98" s="343"/>
      <c r="H98" s="344"/>
      <c r="I98" s="343"/>
      <c r="J98" s="343"/>
      <c r="K98" s="343"/>
      <c r="L98" s="318"/>
    </row>
    <row r="99" spans="1:12" ht="12" customHeight="1">
      <c r="A99" s="137" t="s">
        <v>315</v>
      </c>
      <c r="B99" s="148" t="s">
        <v>296</v>
      </c>
      <c r="C99" s="145"/>
      <c r="D99" s="146"/>
      <c r="E99" s="149"/>
      <c r="F99" s="149"/>
      <c r="G99" s="149"/>
      <c r="H99" s="150"/>
      <c r="I99" s="343"/>
      <c r="J99" s="343"/>
      <c r="K99" s="343"/>
      <c r="L99" s="318"/>
    </row>
    <row r="100" spans="1:12" ht="12" customHeight="1">
      <c r="A100" s="137"/>
      <c r="C100" s="151"/>
      <c r="D100" s="152"/>
      <c r="E100" s="343"/>
      <c r="F100" s="343"/>
      <c r="G100" s="343"/>
      <c r="H100" s="344"/>
      <c r="I100" s="343"/>
      <c r="J100" s="343"/>
      <c r="K100" s="343"/>
      <c r="L100" s="318"/>
    </row>
    <row r="101" spans="1:12" ht="12" customHeight="1">
      <c r="A101" s="137" t="s">
        <v>316</v>
      </c>
      <c r="B101" s="78" t="s">
        <v>292</v>
      </c>
      <c r="C101" s="151">
        <v>6000</v>
      </c>
      <c r="D101" s="152"/>
      <c r="E101" s="159" t="s">
        <v>452</v>
      </c>
      <c r="F101" s="343"/>
      <c r="G101" s="343"/>
      <c r="H101" s="344"/>
      <c r="I101" s="343"/>
      <c r="J101" s="343"/>
      <c r="K101" s="343"/>
      <c r="L101" s="318"/>
    </row>
    <row r="102" spans="1:12" ht="12" customHeight="1">
      <c r="A102" s="137" t="s">
        <v>317</v>
      </c>
      <c r="B102" s="78" t="s">
        <v>293</v>
      </c>
      <c r="C102" s="151">
        <v>4000</v>
      </c>
      <c r="D102" s="152"/>
      <c r="E102" s="159" t="s">
        <v>453</v>
      </c>
      <c r="F102" s="343"/>
      <c r="G102" s="343"/>
      <c r="H102" s="344"/>
      <c r="I102" s="343"/>
      <c r="J102" s="343"/>
      <c r="K102" s="343"/>
      <c r="L102" s="318"/>
    </row>
    <row r="103" spans="1:12" ht="12" customHeight="1">
      <c r="A103" s="137" t="s">
        <v>280</v>
      </c>
      <c r="B103" s="78" t="s">
        <v>294</v>
      </c>
      <c r="C103" s="151"/>
      <c r="D103" s="152"/>
      <c r="E103" s="159" t="s">
        <v>464</v>
      </c>
      <c r="F103" s="343"/>
      <c r="G103" s="343"/>
      <c r="H103" s="344"/>
      <c r="I103" s="343"/>
      <c r="J103" s="343"/>
      <c r="K103" s="343"/>
      <c r="L103" s="318"/>
    </row>
    <row r="104" spans="1:12" ht="12" customHeight="1">
      <c r="A104" s="137" t="s">
        <v>318</v>
      </c>
      <c r="B104" s="148" t="s">
        <v>297</v>
      </c>
      <c r="C104" s="145"/>
      <c r="D104" s="146"/>
      <c r="E104" s="149"/>
      <c r="F104" s="149"/>
      <c r="G104" s="149"/>
      <c r="H104" s="150"/>
      <c r="I104" s="343"/>
      <c r="J104" s="343"/>
      <c r="K104" s="343"/>
      <c r="L104" s="318"/>
    </row>
    <row r="105" spans="1:12" ht="12" customHeight="1">
      <c r="A105" s="137"/>
      <c r="C105" s="151"/>
      <c r="D105" s="152"/>
      <c r="E105" s="343"/>
      <c r="F105" s="343"/>
      <c r="G105" s="343"/>
      <c r="H105" s="344"/>
      <c r="I105" s="343"/>
      <c r="J105" s="343"/>
      <c r="K105" s="343"/>
      <c r="L105" s="318"/>
    </row>
    <row r="106" spans="1:12" ht="12" customHeight="1">
      <c r="A106" s="137" t="s">
        <v>319</v>
      </c>
      <c r="B106" s="78" t="s">
        <v>130</v>
      </c>
      <c r="C106" s="151"/>
      <c r="D106" s="152"/>
      <c r="E106" s="343"/>
      <c r="F106" s="343"/>
      <c r="G106" s="343"/>
      <c r="H106" s="344"/>
      <c r="I106" s="343"/>
      <c r="J106" s="343"/>
      <c r="K106" s="343"/>
      <c r="L106" s="318"/>
    </row>
    <row r="107" spans="1:12" ht="12" customHeight="1">
      <c r="A107" s="137" t="s">
        <v>320</v>
      </c>
      <c r="B107" s="78" t="s">
        <v>131</v>
      </c>
      <c r="C107" s="151"/>
      <c r="D107" s="152"/>
      <c r="E107" s="343"/>
      <c r="F107" s="343"/>
      <c r="G107" s="343"/>
      <c r="H107" s="344"/>
      <c r="I107" s="343"/>
      <c r="J107" s="343"/>
      <c r="K107" s="343"/>
      <c r="L107" s="318"/>
    </row>
    <row r="108" spans="1:12" ht="12" customHeight="1">
      <c r="A108" s="137" t="s">
        <v>281</v>
      </c>
      <c r="B108" s="78" t="s">
        <v>295</v>
      </c>
      <c r="C108" s="151"/>
      <c r="D108" s="152"/>
      <c r="E108" s="343"/>
      <c r="F108" s="343"/>
      <c r="G108" s="343"/>
      <c r="H108" s="344"/>
      <c r="I108" s="343"/>
      <c r="J108" s="343"/>
      <c r="K108" s="343"/>
      <c r="L108" s="318"/>
    </row>
    <row r="109" spans="1:12" ht="12" customHeight="1">
      <c r="A109" s="137" t="s">
        <v>321</v>
      </c>
      <c r="B109" s="148" t="s">
        <v>298</v>
      </c>
      <c r="C109" s="145"/>
      <c r="D109" s="146"/>
      <c r="E109" s="149"/>
      <c r="F109" s="149"/>
      <c r="G109" s="149"/>
      <c r="H109" s="150"/>
      <c r="I109" s="343"/>
      <c r="J109" s="343"/>
      <c r="K109" s="343"/>
      <c r="L109" s="318"/>
    </row>
    <row r="110" spans="1:12" ht="12" customHeight="1">
      <c r="A110" s="137"/>
      <c r="B110" s="78"/>
      <c r="C110" s="151"/>
      <c r="D110" s="152"/>
      <c r="E110" s="343"/>
      <c r="F110" s="343"/>
      <c r="G110" s="343"/>
      <c r="H110" s="344"/>
      <c r="I110" s="343"/>
      <c r="J110" s="343"/>
      <c r="K110" s="343"/>
      <c r="L110" s="318"/>
    </row>
    <row r="111" spans="1:12" ht="12" customHeight="1">
      <c r="A111" s="137" t="s">
        <v>322</v>
      </c>
      <c r="B111" s="78" t="s">
        <v>300</v>
      </c>
      <c r="C111" s="151">
        <v>1000</v>
      </c>
      <c r="D111" s="152"/>
      <c r="E111" s="343"/>
      <c r="F111" s="343"/>
      <c r="G111" s="343"/>
      <c r="H111" s="344"/>
      <c r="I111" s="343"/>
      <c r="J111" s="343"/>
      <c r="K111" s="343"/>
      <c r="L111" s="318"/>
    </row>
    <row r="112" spans="1:12" ht="12" customHeight="1">
      <c r="A112" s="137" t="s">
        <v>323</v>
      </c>
      <c r="B112" s="78" t="s">
        <v>132</v>
      </c>
      <c r="C112" s="151"/>
      <c r="D112" s="152"/>
      <c r="E112" s="343"/>
      <c r="F112" s="343"/>
      <c r="G112" s="343"/>
      <c r="H112" s="344"/>
      <c r="I112" s="343"/>
      <c r="J112" s="343"/>
      <c r="K112" s="343"/>
      <c r="L112" s="318"/>
    </row>
    <row r="113" spans="1:12" ht="12" customHeight="1">
      <c r="A113" s="137" t="s">
        <v>324</v>
      </c>
      <c r="B113" s="78" t="s">
        <v>301</v>
      </c>
      <c r="C113" s="151"/>
      <c r="D113" s="152"/>
      <c r="E113" s="343"/>
      <c r="F113" s="343"/>
      <c r="G113" s="343"/>
      <c r="H113" s="344"/>
      <c r="I113" s="343"/>
      <c r="J113" s="343"/>
      <c r="K113" s="343"/>
      <c r="L113" s="318"/>
    </row>
    <row r="114" spans="1:12" ht="12" customHeight="1">
      <c r="A114" s="137" t="s">
        <v>325</v>
      </c>
      <c r="B114" s="148" t="s">
        <v>299</v>
      </c>
      <c r="C114" s="145"/>
      <c r="D114" s="146"/>
      <c r="E114" s="149"/>
      <c r="F114" s="149"/>
      <c r="G114" s="149"/>
      <c r="H114" s="150"/>
      <c r="I114" s="343"/>
      <c r="J114" s="343"/>
      <c r="K114" s="343"/>
      <c r="L114" s="318"/>
    </row>
    <row r="115" spans="1:12" ht="12" customHeight="1">
      <c r="A115" s="137" t="s">
        <v>326</v>
      </c>
      <c r="B115" s="78" t="s">
        <v>133</v>
      </c>
      <c r="C115" s="151"/>
      <c r="D115" s="152"/>
      <c r="E115" s="343"/>
      <c r="F115" s="343"/>
      <c r="G115" s="343"/>
      <c r="H115" s="344"/>
      <c r="I115" s="343"/>
      <c r="J115" s="343"/>
      <c r="K115" s="343"/>
      <c r="L115" s="318"/>
    </row>
    <row r="116" spans="1:12" ht="12" customHeight="1">
      <c r="A116" s="137" t="s">
        <v>327</v>
      </c>
      <c r="B116" s="154" t="s">
        <v>134</v>
      </c>
      <c r="C116" s="151"/>
      <c r="D116" s="152"/>
      <c r="E116" s="343"/>
      <c r="F116" s="343"/>
      <c r="G116" s="343"/>
      <c r="H116" s="344"/>
      <c r="I116" s="343"/>
      <c r="J116" s="343"/>
      <c r="K116" s="343"/>
      <c r="L116" s="318"/>
    </row>
    <row r="117" spans="1:12" ht="12" customHeight="1">
      <c r="A117" s="137"/>
      <c r="C117" s="151"/>
      <c r="D117" s="152"/>
      <c r="E117" s="343"/>
      <c r="F117" s="343"/>
      <c r="G117" s="343"/>
      <c r="H117" s="344"/>
      <c r="I117" s="343"/>
      <c r="J117" s="343"/>
      <c r="K117" s="343"/>
      <c r="L117" s="318"/>
    </row>
    <row r="118" spans="1:12" ht="12" customHeight="1">
      <c r="A118" s="137" t="s">
        <v>328</v>
      </c>
      <c r="B118" s="78" t="s">
        <v>135</v>
      </c>
      <c r="C118" s="151">
        <v>1000</v>
      </c>
      <c r="D118" s="152"/>
      <c r="E118" s="343"/>
      <c r="F118" s="343"/>
      <c r="G118" s="343"/>
      <c r="H118" s="344"/>
      <c r="I118" s="343"/>
      <c r="J118" s="343"/>
      <c r="K118" s="343"/>
      <c r="L118" s="318"/>
    </row>
    <row r="119" spans="1:12" ht="12" customHeight="1">
      <c r="A119" s="137" t="s">
        <v>329</v>
      </c>
      <c r="B119" s="78" t="s">
        <v>136</v>
      </c>
      <c r="C119" s="151"/>
      <c r="D119" s="152"/>
      <c r="E119" s="343"/>
      <c r="F119" s="343"/>
      <c r="G119" s="343"/>
      <c r="H119" s="344"/>
      <c r="I119" s="343"/>
      <c r="J119" s="343"/>
      <c r="K119" s="343"/>
      <c r="L119" s="318"/>
    </row>
    <row r="120" spans="1:12" ht="12" customHeight="1">
      <c r="A120" s="137" t="s">
        <v>330</v>
      </c>
      <c r="B120" s="78" t="s">
        <v>302</v>
      </c>
      <c r="C120" s="151"/>
      <c r="D120" s="152"/>
      <c r="E120" s="343"/>
      <c r="F120" s="343"/>
      <c r="G120" s="343"/>
      <c r="H120" s="344"/>
      <c r="I120" s="343"/>
      <c r="J120" s="343"/>
      <c r="K120" s="343"/>
      <c r="L120" s="318"/>
    </row>
    <row r="121" spans="1:12" ht="12" customHeight="1">
      <c r="A121" s="137" t="s">
        <v>331</v>
      </c>
      <c r="B121" s="148" t="s">
        <v>303</v>
      </c>
      <c r="C121" s="145"/>
      <c r="D121" s="146"/>
      <c r="E121" s="149"/>
      <c r="F121" s="149"/>
      <c r="G121" s="149"/>
      <c r="H121" s="150"/>
      <c r="I121" s="343"/>
      <c r="J121" s="343"/>
      <c r="K121" s="343"/>
      <c r="L121" s="318"/>
    </row>
    <row r="122" spans="1:12" ht="12" customHeight="1">
      <c r="A122" s="147"/>
      <c r="B122" s="445" t="s">
        <v>137</v>
      </c>
      <c r="C122" s="446">
        <f>SUM(C81:D121)</f>
        <v>22000</v>
      </c>
      <c r="D122" s="447"/>
      <c r="E122" s="440"/>
      <c r="F122" s="149"/>
      <c r="G122" s="149"/>
      <c r="H122" s="150"/>
      <c r="I122" s="343"/>
      <c r="J122" s="343"/>
      <c r="K122" s="343"/>
      <c r="L122" s="318"/>
    </row>
    <row r="123" spans="1:12" ht="12" customHeight="1">
      <c r="A123" s="137"/>
      <c r="C123" s="151"/>
      <c r="D123" s="152"/>
      <c r="E123" s="343"/>
      <c r="F123" s="343"/>
      <c r="G123" s="343"/>
      <c r="H123" s="344"/>
      <c r="I123" s="343"/>
      <c r="J123" s="343"/>
      <c r="K123" s="343"/>
      <c r="L123" s="318"/>
    </row>
    <row r="124" spans="1:12" ht="12" customHeight="1">
      <c r="A124" s="158" t="s">
        <v>332</v>
      </c>
      <c r="B124" s="154" t="s">
        <v>138</v>
      </c>
      <c r="C124" s="151">
        <v>10000</v>
      </c>
      <c r="D124" s="152"/>
      <c r="E124" s="159" t="s">
        <v>465</v>
      </c>
      <c r="F124" s="343"/>
      <c r="G124" s="343"/>
      <c r="H124" s="344"/>
      <c r="I124" s="343"/>
      <c r="J124" s="343"/>
      <c r="K124" s="343"/>
      <c r="L124" s="318"/>
    </row>
    <row r="125" spans="1:12" ht="12" customHeight="1">
      <c r="A125" s="158" t="s">
        <v>333</v>
      </c>
      <c r="B125" s="154" t="s">
        <v>139</v>
      </c>
      <c r="C125" s="151">
        <v>10000</v>
      </c>
      <c r="D125" s="152"/>
      <c r="E125" s="159" t="s">
        <v>467</v>
      </c>
      <c r="F125" s="343"/>
      <c r="G125" s="343"/>
      <c r="H125" s="344"/>
      <c r="I125" s="343"/>
      <c r="J125" s="343"/>
      <c r="K125" s="343"/>
      <c r="L125" s="318"/>
    </row>
    <row r="126" spans="1:12" ht="12" customHeight="1">
      <c r="A126" s="137"/>
      <c r="B126" s="160" t="s">
        <v>427</v>
      </c>
      <c r="C126" s="151">
        <v>15000</v>
      </c>
      <c r="D126" s="152"/>
      <c r="E126" s="159"/>
      <c r="F126" s="343"/>
      <c r="G126" s="343"/>
      <c r="H126" s="344"/>
      <c r="I126" s="343"/>
      <c r="J126" s="343"/>
      <c r="K126" s="343"/>
      <c r="L126" s="318"/>
    </row>
    <row r="127" spans="1:12" ht="12" customHeight="1">
      <c r="A127" s="137" t="s">
        <v>334</v>
      </c>
      <c r="B127" s="161" t="s">
        <v>142</v>
      </c>
      <c r="C127" s="151">
        <v>1500</v>
      </c>
      <c r="D127" s="152"/>
      <c r="E127" s="159"/>
      <c r="F127" s="159"/>
      <c r="G127" s="159"/>
      <c r="H127" s="162"/>
      <c r="I127" s="343"/>
      <c r="J127" s="343"/>
      <c r="K127" s="343"/>
      <c r="L127" s="318"/>
    </row>
    <row r="128" spans="1:12" ht="12" customHeight="1">
      <c r="A128" s="439">
        <v>2065</v>
      </c>
      <c r="B128" s="161" t="s">
        <v>395</v>
      </c>
      <c r="C128" s="151"/>
      <c r="D128" s="152"/>
      <c r="E128" s="343"/>
      <c r="F128" s="343"/>
      <c r="G128" s="343"/>
      <c r="H128" s="344"/>
      <c r="I128" s="343"/>
      <c r="J128" s="343"/>
      <c r="K128" s="343"/>
      <c r="L128" s="318"/>
    </row>
    <row r="129" spans="1:12" ht="12" customHeight="1">
      <c r="A129" s="439">
        <v>2085</v>
      </c>
      <c r="B129" s="161" t="s">
        <v>407</v>
      </c>
      <c r="C129" s="151"/>
      <c r="D129" s="152"/>
      <c r="E129" s="343"/>
      <c r="F129" s="343"/>
      <c r="G129" s="343"/>
      <c r="H129" s="344"/>
      <c r="I129" s="343"/>
      <c r="J129" s="343"/>
      <c r="K129" s="343"/>
      <c r="L129" s="318"/>
    </row>
    <row r="130" spans="1:12" ht="12" customHeight="1">
      <c r="A130" s="160" t="s">
        <v>335</v>
      </c>
      <c r="B130" s="161" t="s">
        <v>143</v>
      </c>
      <c r="C130" s="151">
        <v>15000</v>
      </c>
      <c r="D130" s="152"/>
      <c r="E130" s="343"/>
      <c r="F130" s="343"/>
      <c r="G130" s="343"/>
      <c r="H130" s="344"/>
      <c r="I130" s="343"/>
      <c r="J130" s="343"/>
      <c r="K130" s="343"/>
      <c r="L130" s="318"/>
    </row>
    <row r="131" spans="1:12" ht="12" customHeight="1">
      <c r="A131" s="137" t="s">
        <v>336</v>
      </c>
      <c r="B131" s="161" t="s">
        <v>454</v>
      </c>
      <c r="C131" s="151">
        <v>2500</v>
      </c>
      <c r="D131" s="152"/>
      <c r="E131" s="343"/>
      <c r="F131" s="343"/>
      <c r="G131" s="343"/>
      <c r="H131" s="344"/>
      <c r="I131" s="343"/>
      <c r="J131" s="343"/>
      <c r="K131" s="343"/>
      <c r="L131" s="318"/>
    </row>
    <row r="132" spans="1:12" ht="12" customHeight="1">
      <c r="A132" s="137" t="s">
        <v>404</v>
      </c>
      <c r="B132" s="161" t="s">
        <v>405</v>
      </c>
      <c r="C132" s="151"/>
      <c r="D132" s="152"/>
      <c r="E132" s="343"/>
      <c r="F132" s="343"/>
      <c r="G132" s="343"/>
      <c r="H132" s="344"/>
      <c r="I132" s="343"/>
      <c r="J132" s="343"/>
      <c r="K132" s="343"/>
      <c r="L132" s="318"/>
    </row>
    <row r="133" spans="1:12" ht="12" customHeight="1">
      <c r="A133" s="137" t="s">
        <v>145</v>
      </c>
      <c r="B133" s="161" t="s">
        <v>146</v>
      </c>
      <c r="C133" s="151">
        <v>750</v>
      </c>
      <c r="D133" s="152"/>
      <c r="E133" s="159"/>
      <c r="F133" s="343"/>
      <c r="G133" s="343"/>
      <c r="H133" s="344"/>
      <c r="I133" s="343"/>
      <c r="J133" s="343"/>
      <c r="K133" s="343"/>
      <c r="L133" s="318"/>
    </row>
    <row r="134" spans="1:12" ht="12" customHeight="1">
      <c r="A134" s="137" t="s">
        <v>147</v>
      </c>
      <c r="B134" s="161" t="s">
        <v>148</v>
      </c>
      <c r="C134" s="151">
        <v>500</v>
      </c>
      <c r="D134" s="152"/>
      <c r="E134" s="343"/>
      <c r="F134" s="343"/>
      <c r="G134" s="343"/>
      <c r="H134" s="344"/>
      <c r="I134" s="343"/>
      <c r="J134" s="343"/>
      <c r="K134" s="343"/>
      <c r="L134" s="318"/>
    </row>
    <row r="135" spans="1:12" ht="12" customHeight="1">
      <c r="A135" s="137"/>
      <c r="B135" s="161" t="s">
        <v>432</v>
      </c>
      <c r="C135" s="151">
        <f>300*C209</f>
        <v>1500</v>
      </c>
      <c r="D135" s="152"/>
      <c r="E135" s="159" t="s">
        <v>466</v>
      </c>
      <c r="F135" s="343"/>
      <c r="G135" s="343"/>
      <c r="H135" s="344"/>
      <c r="I135" s="343"/>
      <c r="J135" s="343"/>
      <c r="K135" s="343"/>
      <c r="L135" s="318"/>
    </row>
    <row r="136" spans="1:12" ht="12" customHeight="1">
      <c r="A136" s="137" t="s">
        <v>338</v>
      </c>
      <c r="B136" s="161" t="s">
        <v>394</v>
      </c>
      <c r="C136" s="151">
        <v>1500</v>
      </c>
      <c r="D136" s="152"/>
      <c r="E136" s="343"/>
      <c r="F136" s="343"/>
      <c r="G136" s="343"/>
      <c r="H136" s="344"/>
      <c r="I136" s="343"/>
      <c r="J136" s="343"/>
      <c r="K136" s="343"/>
      <c r="L136" s="318"/>
    </row>
    <row r="137" spans="1:12" ht="12" customHeight="1">
      <c r="A137" s="137" t="s">
        <v>337</v>
      </c>
      <c r="B137" s="161" t="s">
        <v>150</v>
      </c>
      <c r="C137" s="151">
        <v>250</v>
      </c>
      <c r="D137" s="152"/>
      <c r="E137" s="343"/>
      <c r="F137" s="343"/>
      <c r="G137" s="343"/>
      <c r="H137" s="344"/>
      <c r="I137" s="343"/>
      <c r="J137" s="343"/>
      <c r="K137" s="343"/>
      <c r="L137" s="318"/>
    </row>
    <row r="138" spans="1:12" ht="12" customHeight="1">
      <c r="A138" s="147" t="s">
        <v>339</v>
      </c>
      <c r="B138" s="148" t="s">
        <v>151</v>
      </c>
      <c r="C138" s="145">
        <v>1000</v>
      </c>
      <c r="D138" s="146"/>
      <c r="E138" s="343"/>
      <c r="F138" s="343"/>
      <c r="G138" s="343"/>
      <c r="H138" s="344"/>
      <c r="I138" s="343"/>
      <c r="J138" s="343"/>
      <c r="K138" s="343"/>
      <c r="L138" s="318"/>
    </row>
    <row r="139" spans="1:12" ht="12" customHeight="1">
      <c r="A139" s="137" t="s">
        <v>340</v>
      </c>
      <c r="B139" s="161" t="s">
        <v>428</v>
      </c>
      <c r="C139" s="151">
        <v>1000</v>
      </c>
      <c r="D139" s="152"/>
      <c r="E139" s="159"/>
      <c r="F139" s="159"/>
      <c r="G139" s="159"/>
      <c r="H139" s="162"/>
      <c r="I139" s="343"/>
      <c r="J139" s="343"/>
      <c r="K139" s="343"/>
      <c r="L139" s="318"/>
    </row>
    <row r="140" spans="1:12" ht="12" customHeight="1">
      <c r="A140" s="137" t="s">
        <v>153</v>
      </c>
      <c r="B140" s="161" t="s">
        <v>154</v>
      </c>
      <c r="C140" s="151">
        <v>500</v>
      </c>
      <c r="D140" s="152"/>
      <c r="E140" s="159"/>
      <c r="F140" s="159"/>
      <c r="G140" s="159"/>
      <c r="H140" s="162"/>
      <c r="I140" s="343"/>
      <c r="J140" s="343"/>
      <c r="K140" s="343"/>
      <c r="L140" s="318"/>
    </row>
    <row r="141" spans="1:12" ht="12" customHeight="1" thickBot="1">
      <c r="A141" s="137" t="s">
        <v>341</v>
      </c>
      <c r="B141" s="161" t="s">
        <v>155</v>
      </c>
      <c r="C141" s="151">
        <v>500</v>
      </c>
      <c r="D141" s="152"/>
      <c r="E141" s="159"/>
      <c r="F141" s="159"/>
      <c r="G141" s="159"/>
      <c r="H141" s="162"/>
      <c r="I141" s="343"/>
      <c r="J141" s="343"/>
      <c r="K141" s="343"/>
      <c r="L141" s="318"/>
    </row>
    <row r="142" spans="1:12" ht="12" customHeight="1" thickBot="1">
      <c r="A142" s="357"/>
      <c r="B142" s="164"/>
      <c r="C142" s="165">
        <f>SUM(C75:D141)-C122</f>
        <v>241792.28599999996</v>
      </c>
      <c r="D142" s="164"/>
      <c r="E142" s="352"/>
      <c r="F142" s="352"/>
      <c r="G142" s="352"/>
      <c r="H142" s="353"/>
      <c r="I142" s="343"/>
      <c r="J142" s="343"/>
      <c r="K142" s="343"/>
      <c r="L142" s="318"/>
    </row>
    <row r="143" spans="2:7" s="318" customFormat="1" ht="12" customHeight="1" thickBot="1">
      <c r="B143" s="161"/>
      <c r="C143" s="167"/>
      <c r="D143" s="167"/>
      <c r="E143" s="26"/>
      <c r="F143" s="26"/>
      <c r="G143" s="26"/>
    </row>
    <row r="144" spans="1:12" ht="12" customHeight="1" thickBot="1">
      <c r="A144" s="133" t="s">
        <v>78</v>
      </c>
      <c r="B144" s="133" t="s">
        <v>156</v>
      </c>
      <c r="C144" s="133" t="s">
        <v>15</v>
      </c>
      <c r="D144" s="168" t="s">
        <v>157</v>
      </c>
      <c r="E144" s="328"/>
      <c r="F144" s="328"/>
      <c r="G144" s="328"/>
      <c r="H144" s="324"/>
      <c r="I144" s="354"/>
      <c r="J144" s="354"/>
      <c r="K144" s="354"/>
      <c r="L144" s="354"/>
    </row>
    <row r="145" spans="1:12" ht="12" customHeight="1">
      <c r="A145" s="137"/>
      <c r="B145" s="33"/>
      <c r="C145" s="170"/>
      <c r="D145" s="171"/>
      <c r="E145" s="354"/>
      <c r="F145" s="354"/>
      <c r="G145" s="354"/>
      <c r="H145" s="358"/>
      <c r="I145" s="354"/>
      <c r="J145" s="354"/>
      <c r="K145" s="354"/>
      <c r="L145" s="318"/>
    </row>
    <row r="146" spans="1:12" ht="12" customHeight="1">
      <c r="A146" s="137"/>
      <c r="B146" s="33" t="s">
        <v>118</v>
      </c>
      <c r="C146" s="174">
        <f>$I$17</f>
        <v>6871.1804</v>
      </c>
      <c r="D146" s="175">
        <f>$J$17</f>
        <v>26340.9216</v>
      </c>
      <c r="E146" s="354"/>
      <c r="F146" s="354"/>
      <c r="G146" s="354"/>
      <c r="H146" s="358"/>
      <c r="I146" s="343"/>
      <c r="J146" s="343"/>
      <c r="K146" s="343"/>
      <c r="L146" s="318"/>
    </row>
    <row r="147" spans="1:12" ht="12" customHeight="1">
      <c r="A147" s="137"/>
      <c r="B147" s="33" t="s">
        <v>119</v>
      </c>
      <c r="C147" s="174">
        <f>$I$25</f>
        <v>3716.7248</v>
      </c>
      <c r="D147" s="175">
        <f>$J$25</f>
        <v>14866.8992</v>
      </c>
      <c r="E147" s="354"/>
      <c r="F147" s="354"/>
      <c r="G147" s="354"/>
      <c r="H147" s="358"/>
      <c r="I147" s="343"/>
      <c r="J147" s="343"/>
      <c r="K147" s="343"/>
      <c r="L147" s="318"/>
    </row>
    <row r="148" spans="1:12" ht="12" customHeight="1">
      <c r="A148" s="137"/>
      <c r="B148" s="33" t="s">
        <v>120</v>
      </c>
      <c r="C148" s="174">
        <f>$I$32</f>
        <v>3479.88</v>
      </c>
      <c r="D148" s="175">
        <f>$J$32</f>
        <v>14314.4</v>
      </c>
      <c r="E148" s="354"/>
      <c r="F148" s="354"/>
      <c r="G148" s="354"/>
      <c r="H148" s="358"/>
      <c r="I148" s="343"/>
      <c r="J148" s="343"/>
      <c r="K148" s="343"/>
      <c r="L148" s="318"/>
    </row>
    <row r="149" spans="1:12" ht="12" customHeight="1">
      <c r="A149" s="137"/>
      <c r="B149" s="33" t="s">
        <v>121</v>
      </c>
      <c r="C149" s="174">
        <f>G40</f>
        <v>10000</v>
      </c>
      <c r="D149" s="175">
        <f>$J$40</f>
        <v>8800</v>
      </c>
      <c r="E149" s="354"/>
      <c r="F149" s="354"/>
      <c r="G149" s="354"/>
      <c r="H149" s="358"/>
      <c r="I149" s="343"/>
      <c r="J149" s="343"/>
      <c r="K149" s="343"/>
      <c r="L149" s="318"/>
    </row>
    <row r="150" spans="1:12" ht="12" customHeight="1">
      <c r="A150" s="137"/>
      <c r="B150" s="33" t="s">
        <v>123</v>
      </c>
      <c r="C150" s="174">
        <f>$I$46</f>
        <v>983.36</v>
      </c>
      <c r="D150" s="175">
        <f>$J$46</f>
        <v>3933.44</v>
      </c>
      <c r="E150" s="354"/>
      <c r="F150" s="354"/>
      <c r="G150" s="354"/>
      <c r="H150" s="358"/>
      <c r="I150" s="343"/>
      <c r="J150" s="343"/>
      <c r="K150" s="343"/>
      <c r="L150" s="318"/>
    </row>
    <row r="151" spans="1:12" ht="12" customHeight="1">
      <c r="A151" s="137"/>
      <c r="B151" s="33"/>
      <c r="C151" s="174"/>
      <c r="D151" s="175"/>
      <c r="E151" s="354"/>
      <c r="F151" s="354"/>
      <c r="G151" s="354"/>
      <c r="H151" s="358"/>
      <c r="I151" s="343"/>
      <c r="J151" s="343"/>
      <c r="K151" s="343"/>
      <c r="L151" s="318"/>
    </row>
    <row r="152" spans="1:12" ht="12" customHeight="1">
      <c r="A152" s="137"/>
      <c r="B152" s="33"/>
      <c r="C152" s="174"/>
      <c r="D152" s="175"/>
      <c r="E152" s="354"/>
      <c r="F152" s="354"/>
      <c r="G152" s="354"/>
      <c r="H152" s="358"/>
      <c r="I152" s="343"/>
      <c r="J152" s="343"/>
      <c r="K152" s="343"/>
      <c r="L152" s="318"/>
    </row>
    <row r="153" spans="1:12" ht="12" customHeight="1">
      <c r="A153" s="137"/>
      <c r="B153" s="33"/>
      <c r="C153" s="174"/>
      <c r="D153" s="175"/>
      <c r="E153" s="354"/>
      <c r="F153" s="354"/>
      <c r="G153" s="354"/>
      <c r="H153" s="358"/>
      <c r="I153" s="343"/>
      <c r="J153" s="343"/>
      <c r="K153" s="343"/>
      <c r="L153" s="318"/>
    </row>
    <row r="154" spans="1:12" ht="12" customHeight="1">
      <c r="A154" s="137" t="s">
        <v>342</v>
      </c>
      <c r="B154" s="33" t="s">
        <v>455</v>
      </c>
      <c r="C154" s="174">
        <f>30*10</f>
        <v>300</v>
      </c>
      <c r="D154" s="175">
        <f>$C$154*$C$214</f>
        <v>7200</v>
      </c>
      <c r="E154" s="159" t="s">
        <v>459</v>
      </c>
      <c r="F154" s="354"/>
      <c r="G154" s="354"/>
      <c r="H154" s="358"/>
      <c r="I154" s="343"/>
      <c r="J154" s="343"/>
      <c r="K154" s="343"/>
      <c r="L154" s="318"/>
    </row>
    <row r="155" spans="1:12" ht="12" customHeight="1">
      <c r="A155" s="137"/>
      <c r="B155" s="33"/>
      <c r="C155" s="174"/>
      <c r="D155" s="175"/>
      <c r="E155" s="494" t="s">
        <v>460</v>
      </c>
      <c r="F155" s="354"/>
      <c r="G155" s="354"/>
      <c r="H155" s="358"/>
      <c r="I155" s="343"/>
      <c r="J155" s="343"/>
      <c r="K155" s="343"/>
      <c r="L155" s="318"/>
    </row>
    <row r="156" spans="1:12" ht="12" customHeight="1">
      <c r="A156" s="137" t="s">
        <v>343</v>
      </c>
      <c r="B156" s="33" t="s">
        <v>159</v>
      </c>
      <c r="C156" s="174">
        <v>0</v>
      </c>
      <c r="D156" s="175">
        <f>$C$156*$C$211</f>
        <v>0</v>
      </c>
      <c r="E156" s="354"/>
      <c r="F156" s="354"/>
      <c r="G156" s="354"/>
      <c r="H156" s="358"/>
      <c r="I156" s="343"/>
      <c r="J156" s="343"/>
      <c r="K156" s="343"/>
      <c r="L156" s="318"/>
    </row>
    <row r="157" spans="1:12" ht="12" customHeight="1">
      <c r="A157" s="137" t="s">
        <v>344</v>
      </c>
      <c r="B157" s="33" t="s">
        <v>160</v>
      </c>
      <c r="C157" s="174"/>
      <c r="D157" s="175">
        <f>$C$157*$C$211</f>
        <v>0</v>
      </c>
      <c r="E157" s="354"/>
      <c r="F157" s="354"/>
      <c r="G157" s="354"/>
      <c r="H157" s="358"/>
      <c r="I157" s="343"/>
      <c r="J157" s="343"/>
      <c r="K157" s="343"/>
      <c r="L157" s="318"/>
    </row>
    <row r="158" spans="1:12" ht="12" customHeight="1">
      <c r="A158" s="137" t="s">
        <v>350</v>
      </c>
      <c r="B158" s="33" t="s">
        <v>161</v>
      </c>
      <c r="C158" s="174">
        <v>50</v>
      </c>
      <c r="D158" s="175">
        <f>$C$158*$C$211</f>
        <v>200</v>
      </c>
      <c r="E158" s="354"/>
      <c r="F158" s="354"/>
      <c r="G158" s="354"/>
      <c r="H158" s="358"/>
      <c r="I158" s="343"/>
      <c r="J158" s="343"/>
      <c r="K158" s="343"/>
      <c r="L158" s="318"/>
    </row>
    <row r="159" spans="1:12" ht="12" customHeight="1">
      <c r="A159" s="137" t="s">
        <v>315</v>
      </c>
      <c r="B159" s="33" t="s">
        <v>162</v>
      </c>
      <c r="C159" s="174"/>
      <c r="D159" s="175">
        <f>$C$159*$C$211</f>
        <v>0</v>
      </c>
      <c r="E159" s="354"/>
      <c r="F159" s="354"/>
      <c r="G159" s="354"/>
      <c r="H159" s="358"/>
      <c r="I159" s="343"/>
      <c r="J159" s="343"/>
      <c r="K159" s="343"/>
      <c r="L159" s="318"/>
    </row>
    <row r="160" spans="1:12" ht="12" customHeight="1">
      <c r="A160" s="137" t="s">
        <v>351</v>
      </c>
      <c r="B160" s="33" t="s">
        <v>163</v>
      </c>
      <c r="C160" s="174">
        <v>50</v>
      </c>
      <c r="D160" s="175">
        <f>$C$160*$C$211</f>
        <v>200</v>
      </c>
      <c r="E160" s="354"/>
      <c r="F160" s="354"/>
      <c r="G160" s="354"/>
      <c r="H160" s="358"/>
      <c r="I160" s="343"/>
      <c r="J160" s="343"/>
      <c r="K160" s="343"/>
      <c r="L160" s="318"/>
    </row>
    <row r="161" spans="1:12" ht="12" customHeight="1">
      <c r="A161" s="137" t="s">
        <v>318</v>
      </c>
      <c r="B161" s="33" t="s">
        <v>164</v>
      </c>
      <c r="C161" s="174"/>
      <c r="D161" s="175">
        <f>$C$161*$C$211</f>
        <v>0</v>
      </c>
      <c r="E161" s="354"/>
      <c r="F161" s="354"/>
      <c r="G161" s="354"/>
      <c r="H161" s="358"/>
      <c r="I161" s="343"/>
      <c r="J161" s="343"/>
      <c r="K161" s="343"/>
      <c r="L161" s="318"/>
    </row>
    <row r="162" spans="1:12" ht="12" customHeight="1">
      <c r="A162" s="137" t="s">
        <v>352</v>
      </c>
      <c r="B162" s="33" t="s">
        <v>165</v>
      </c>
      <c r="C162" s="174">
        <v>1000</v>
      </c>
      <c r="D162" s="175">
        <f>$C$162*$C$211</f>
        <v>4000</v>
      </c>
      <c r="E162" s="354"/>
      <c r="F162" s="354"/>
      <c r="G162" s="354"/>
      <c r="H162" s="358"/>
      <c r="I162" s="343"/>
      <c r="J162" s="343"/>
      <c r="K162" s="343"/>
      <c r="L162" s="318"/>
    </row>
    <row r="163" spans="1:12" ht="12" customHeight="1">
      <c r="A163" s="137" t="s">
        <v>325</v>
      </c>
      <c r="B163" s="33" t="s">
        <v>166</v>
      </c>
      <c r="C163" s="174"/>
      <c r="D163" s="175">
        <f>$C$163*$C$211</f>
        <v>0</v>
      </c>
      <c r="E163" s="354"/>
      <c r="F163" s="354"/>
      <c r="G163" s="354"/>
      <c r="H163" s="358"/>
      <c r="I163" s="343"/>
      <c r="J163" s="343"/>
      <c r="K163" s="343"/>
      <c r="L163" s="318"/>
    </row>
    <row r="164" spans="1:12" ht="12" customHeight="1">
      <c r="A164" s="137" t="s">
        <v>353</v>
      </c>
      <c r="B164" s="33" t="s">
        <v>167</v>
      </c>
      <c r="C164" s="174">
        <v>2000</v>
      </c>
      <c r="D164" s="175">
        <f>$C$164*$C$211</f>
        <v>8000</v>
      </c>
      <c r="E164" s="343"/>
      <c r="F164" s="343"/>
      <c r="G164" s="343"/>
      <c r="H164" s="344"/>
      <c r="I164" s="343"/>
      <c r="J164" s="343"/>
      <c r="K164" s="343"/>
      <c r="L164" s="318"/>
    </row>
    <row r="165" spans="1:12" ht="12" customHeight="1">
      <c r="A165" s="137" t="s">
        <v>331</v>
      </c>
      <c r="B165" s="33" t="s">
        <v>168</v>
      </c>
      <c r="C165" s="174"/>
      <c r="D165" s="175">
        <f>$C$165*$C$211</f>
        <v>0</v>
      </c>
      <c r="E165" s="354"/>
      <c r="F165" s="354"/>
      <c r="G165" s="354"/>
      <c r="H165" s="358"/>
      <c r="I165" s="343"/>
      <c r="J165" s="343"/>
      <c r="K165" s="343"/>
      <c r="L165" s="318"/>
    </row>
    <row r="166" spans="1:12" ht="12" customHeight="1">
      <c r="A166" s="137" t="s">
        <v>354</v>
      </c>
      <c r="B166" s="33" t="s">
        <v>169</v>
      </c>
      <c r="C166" s="174">
        <v>0</v>
      </c>
      <c r="D166" s="175">
        <f>$C$166*$C$211</f>
        <v>0</v>
      </c>
      <c r="E166" s="354"/>
      <c r="F166" s="354"/>
      <c r="G166" s="354"/>
      <c r="H166" s="358"/>
      <c r="I166" s="343"/>
      <c r="J166" s="343"/>
      <c r="K166" s="343"/>
      <c r="L166" s="318"/>
    </row>
    <row r="167" spans="1:12" ht="12" customHeight="1">
      <c r="A167" s="137"/>
      <c r="B167" s="33"/>
      <c r="C167" s="174"/>
      <c r="D167" s="175"/>
      <c r="E167" s="354"/>
      <c r="F167" s="354"/>
      <c r="G167" s="354"/>
      <c r="H167" s="358"/>
      <c r="I167" s="343"/>
      <c r="J167" s="343"/>
      <c r="K167" s="343"/>
      <c r="L167" s="318"/>
    </row>
    <row r="168" spans="1:12" ht="12" customHeight="1">
      <c r="A168" s="137"/>
      <c r="B168" s="33"/>
      <c r="C168" s="174"/>
      <c r="D168" s="175"/>
      <c r="E168" s="159"/>
      <c r="F168" s="343"/>
      <c r="G168" s="343"/>
      <c r="H168" s="344"/>
      <c r="I168" s="343"/>
      <c r="J168" s="343"/>
      <c r="K168" s="343"/>
      <c r="L168" s="318"/>
    </row>
    <row r="169" spans="1:12" ht="12" customHeight="1">
      <c r="A169" s="137"/>
      <c r="B169" s="33"/>
      <c r="C169" s="174"/>
      <c r="D169" s="175"/>
      <c r="E169" s="354"/>
      <c r="F169" s="354"/>
      <c r="G169" s="354"/>
      <c r="H169" s="358"/>
      <c r="I169" s="343"/>
      <c r="J169" s="343"/>
      <c r="K169" s="343"/>
      <c r="L169" s="318"/>
    </row>
    <row r="170" spans="1:12" ht="12" customHeight="1">
      <c r="A170" s="137" t="s">
        <v>355</v>
      </c>
      <c r="B170" s="33" t="s">
        <v>448</v>
      </c>
      <c r="C170" s="178"/>
      <c r="D170" s="175">
        <f>($K$181*$C$199*$C$200)</f>
        <v>9600</v>
      </c>
      <c r="E170" s="159" t="s">
        <v>417</v>
      </c>
      <c r="F170" s="354"/>
      <c r="G170" s="354"/>
      <c r="H170" s="358"/>
      <c r="I170" s="343"/>
      <c r="J170" s="343"/>
      <c r="K170" s="343"/>
      <c r="L170" s="318"/>
    </row>
    <row r="171" spans="1:12" ht="12" customHeight="1">
      <c r="A171" s="137"/>
      <c r="B171" s="33"/>
      <c r="C171" s="174"/>
      <c r="D171" s="175"/>
      <c r="E171" s="354"/>
      <c r="F171" s="354"/>
      <c r="G171" s="354"/>
      <c r="H171" s="358"/>
      <c r="I171" s="343"/>
      <c r="J171" s="343"/>
      <c r="K171" s="343"/>
      <c r="L171" s="318"/>
    </row>
    <row r="172" spans="1:12" ht="12" customHeight="1" thickBot="1">
      <c r="A172" s="137" t="s">
        <v>356</v>
      </c>
      <c r="B172" s="33" t="s">
        <v>171</v>
      </c>
      <c r="C172" s="178" t="s">
        <v>461</v>
      </c>
      <c r="D172" s="175">
        <f>($K$181*$F$199*$F$200)</f>
        <v>1200</v>
      </c>
      <c r="E172" s="354"/>
      <c r="F172" s="354"/>
      <c r="G172" s="354"/>
      <c r="H172" s="358"/>
      <c r="I172" s="343"/>
      <c r="J172" s="343"/>
      <c r="K172" s="343"/>
      <c r="L172" s="318"/>
    </row>
    <row r="173" spans="1:12" ht="12" customHeight="1" thickBot="1">
      <c r="A173" s="179"/>
      <c r="B173" s="44"/>
      <c r="C173" s="44">
        <f>SUM(C146:C172)</f>
        <v>28451.145200000003</v>
      </c>
      <c r="D173" s="180">
        <f>SUM(D146:D172)</f>
        <v>98655.6608</v>
      </c>
      <c r="E173" s="328"/>
      <c r="F173" s="328"/>
      <c r="G173" s="328"/>
      <c r="H173" s="324"/>
      <c r="I173" s="354"/>
      <c r="J173" s="354"/>
      <c r="K173" s="354"/>
      <c r="L173" s="318"/>
    </row>
    <row r="174" spans="1:13" ht="12" customHeight="1">
      <c r="A174" s="182"/>
      <c r="B174" s="78"/>
      <c r="C174" s="78"/>
      <c r="D174" s="154"/>
      <c r="E174" s="354"/>
      <c r="F174" s="354"/>
      <c r="G174" s="354"/>
      <c r="H174" s="354"/>
      <c r="I174" s="354"/>
      <c r="J174" s="354"/>
      <c r="K174" s="354"/>
      <c r="L174" s="354"/>
      <c r="M174" s="318"/>
    </row>
    <row r="175" spans="1:13" ht="12" customHeight="1">
      <c r="A175" s="182"/>
      <c r="B175" s="183" t="s">
        <v>172</v>
      </c>
      <c r="C175" s="78"/>
      <c r="D175" s="154"/>
      <c r="E175" s="354"/>
      <c r="F175" s="354"/>
      <c r="G175" s="354"/>
      <c r="H175" s="354"/>
      <c r="I175" s="354"/>
      <c r="J175" s="354"/>
      <c r="K175" s="354"/>
      <c r="L175" s="354"/>
      <c r="M175" s="318"/>
    </row>
    <row r="176" spans="1:13" ht="12" customHeight="1">
      <c r="A176" s="182"/>
      <c r="B176" s="78"/>
      <c r="C176" s="78"/>
      <c r="D176" s="154"/>
      <c r="E176" s="354"/>
      <c r="F176" s="354"/>
      <c r="G176" s="354"/>
      <c r="H176" s="354"/>
      <c r="I176" s="354"/>
      <c r="J176" s="354"/>
      <c r="K176" s="354"/>
      <c r="L176" s="354"/>
      <c r="M176" s="318"/>
    </row>
    <row r="177" spans="1:13" ht="12" customHeight="1">
      <c r="A177" s="182"/>
      <c r="B177" s="184"/>
      <c r="C177" s="78"/>
      <c r="D177" s="154"/>
      <c r="E177" s="354"/>
      <c r="F177" s="354"/>
      <c r="G177" s="354"/>
      <c r="H177" s="354"/>
      <c r="I177" s="354"/>
      <c r="J177" s="354"/>
      <c r="K177" s="354"/>
      <c r="L177" s="354"/>
      <c r="M177" s="318"/>
    </row>
    <row r="178" spans="1:13" ht="12" customHeight="1">
      <c r="A178" s="182"/>
      <c r="B178" s="78"/>
      <c r="C178" s="78"/>
      <c r="D178" s="154"/>
      <c r="E178" s="354"/>
      <c r="F178" s="354"/>
      <c r="G178" s="354"/>
      <c r="H178" s="354"/>
      <c r="I178" s="354"/>
      <c r="J178" s="354"/>
      <c r="K178" s="354"/>
      <c r="L178" s="354"/>
      <c r="M178" s="318"/>
    </row>
    <row r="179" ht="12" customHeight="1" thickBot="1"/>
    <row r="180" spans="1:11" ht="12" customHeight="1" thickBot="1">
      <c r="A180" s="182"/>
      <c r="B180" s="359" t="s">
        <v>173</v>
      </c>
      <c r="C180" s="360"/>
      <c r="D180" s="361" t="s">
        <v>174</v>
      </c>
      <c r="E180" s="321"/>
      <c r="F180" s="362" t="s">
        <v>8</v>
      </c>
      <c r="G180" s="318"/>
      <c r="H180" s="363" t="s">
        <v>175</v>
      </c>
      <c r="I180" s="364"/>
      <c r="J180" s="364"/>
      <c r="K180" s="365"/>
    </row>
    <row r="181" spans="1:11" ht="12" customHeight="1">
      <c r="A181" s="182"/>
      <c r="B181" s="366" t="s">
        <v>176</v>
      </c>
      <c r="C181" s="367"/>
      <c r="D181" s="145"/>
      <c r="E181" s="264"/>
      <c r="F181" s="368"/>
      <c r="G181" s="318"/>
      <c r="H181" s="369" t="s">
        <v>177</v>
      </c>
      <c r="I181" s="159"/>
      <c r="J181" s="159"/>
      <c r="K181" s="370">
        <f>C214</f>
        <v>24</v>
      </c>
    </row>
    <row r="182" spans="1:11" ht="12" customHeight="1">
      <c r="A182" s="182"/>
      <c r="B182" s="371" t="s">
        <v>178</v>
      </c>
      <c r="C182" s="372"/>
      <c r="D182" s="413" t="s">
        <v>179</v>
      </c>
      <c r="E182" s="373"/>
      <c r="F182" s="374">
        <f>C142</f>
        <v>241792.28599999996</v>
      </c>
      <c r="G182" s="40"/>
      <c r="H182" s="369" t="s">
        <v>180</v>
      </c>
      <c r="I182" s="318"/>
      <c r="J182" s="318"/>
      <c r="K182" s="370">
        <f>C215</f>
        <v>300</v>
      </c>
    </row>
    <row r="183" spans="1:11" ht="12" customHeight="1">
      <c r="A183" s="182"/>
      <c r="B183" s="371" t="s">
        <v>181</v>
      </c>
      <c r="C183" s="372"/>
      <c r="D183" s="383"/>
      <c r="E183" s="79"/>
      <c r="F183" s="375"/>
      <c r="G183" s="40"/>
      <c r="H183" s="369" t="s">
        <v>182</v>
      </c>
      <c r="I183" s="318"/>
      <c r="J183" s="318"/>
      <c r="K183" s="376">
        <f>C218</f>
        <v>0.75</v>
      </c>
    </row>
    <row r="184" spans="1:11" ht="12" customHeight="1" thickBot="1">
      <c r="A184" s="182"/>
      <c r="B184" s="371" t="s">
        <v>183</v>
      </c>
      <c r="C184" s="372"/>
      <c r="D184" s="413" t="s">
        <v>184</v>
      </c>
      <c r="E184" s="373"/>
      <c r="F184" s="374">
        <f>D173</f>
        <v>98655.6608</v>
      </c>
      <c r="G184" s="40"/>
      <c r="H184" s="369" t="s">
        <v>185</v>
      </c>
      <c r="I184" s="318"/>
      <c r="J184" s="318"/>
      <c r="K184" s="377">
        <f>C217</f>
        <v>16.666666666666668</v>
      </c>
    </row>
    <row r="185" spans="1:11" ht="12" customHeight="1">
      <c r="A185" s="182"/>
      <c r="B185" s="212" t="s">
        <v>186</v>
      </c>
      <c r="C185" s="213"/>
      <c r="D185" s="383"/>
      <c r="E185" s="79"/>
      <c r="F185" s="375"/>
      <c r="G185" s="40"/>
      <c r="H185" s="378" t="s">
        <v>187</v>
      </c>
      <c r="I185" s="379"/>
      <c r="J185" s="379"/>
      <c r="K185" s="380">
        <f>$K$181*$K$182*$K$183</f>
        <v>5400</v>
      </c>
    </row>
    <row r="186" spans="1:11" ht="12" customHeight="1" thickBot="1">
      <c r="A186" s="182"/>
      <c r="B186" s="217" t="s">
        <v>188</v>
      </c>
      <c r="C186" s="218"/>
      <c r="D186" s="413"/>
      <c r="E186" s="373"/>
      <c r="F186" s="381"/>
      <c r="G186" s="40"/>
      <c r="H186" s="369" t="s">
        <v>189</v>
      </c>
      <c r="I186" s="318"/>
      <c r="J186" s="318"/>
      <c r="K186" s="382">
        <f>-K187*F217</f>
        <v>0</v>
      </c>
    </row>
    <row r="187" spans="1:11" ht="12" customHeight="1" thickBot="1">
      <c r="A187" s="182"/>
      <c r="B187" s="383"/>
      <c r="C187" s="79"/>
      <c r="D187" s="9" t="s">
        <v>190</v>
      </c>
      <c r="E187" s="384"/>
      <c r="F187" s="385">
        <f>SUM(F182:F186)</f>
        <v>340447.9468</v>
      </c>
      <c r="G187" s="40"/>
      <c r="H187" s="369" t="s">
        <v>191</v>
      </c>
      <c r="I187" s="318"/>
      <c r="J187" s="318"/>
      <c r="K187" s="377">
        <f>$K$185*$K$184</f>
        <v>90000</v>
      </c>
    </row>
    <row r="188" spans="1:11" ht="12" customHeight="1">
      <c r="A188" s="182"/>
      <c r="B188" s="386" t="s">
        <v>192</v>
      </c>
      <c r="C188" s="387"/>
      <c r="D188" s="145" t="s">
        <v>193</v>
      </c>
      <c r="E188" s="388"/>
      <c r="F188" s="375">
        <f>$K$187</f>
        <v>90000</v>
      </c>
      <c r="G188" s="40"/>
      <c r="H188" s="369" t="s">
        <v>194</v>
      </c>
      <c r="I188" s="318"/>
      <c r="J188" s="318"/>
      <c r="K188" s="377">
        <f>-SUM($K$187*$F$215)</f>
        <v>-2700</v>
      </c>
    </row>
    <row r="189" spans="1:11" ht="12" customHeight="1">
      <c r="A189" s="182"/>
      <c r="B189" s="389" t="s">
        <v>195</v>
      </c>
      <c r="C189" s="390"/>
      <c r="D189" s="414" t="s">
        <v>196</v>
      </c>
      <c r="E189" s="391"/>
      <c r="F189" s="375">
        <f>$K$189</f>
        <v>-6180</v>
      </c>
      <c r="G189" s="40"/>
      <c r="H189" s="369" t="s">
        <v>196</v>
      </c>
      <c r="I189" s="318"/>
      <c r="J189" s="318"/>
      <c r="K189" s="392">
        <f>-SUM((($K$187-K188))/1.2*$C$219)</f>
        <v>-6180</v>
      </c>
    </row>
    <row r="190" spans="1:11" ht="12" customHeight="1">
      <c r="A190" s="182"/>
      <c r="B190" s="389" t="s">
        <v>197</v>
      </c>
      <c r="C190" s="390"/>
      <c r="D190" s="414" t="s">
        <v>198</v>
      </c>
      <c r="E190" s="391"/>
      <c r="F190" s="375">
        <f>$K$188</f>
        <v>-2700</v>
      </c>
      <c r="G190" s="393"/>
      <c r="H190" s="378" t="s">
        <v>199</v>
      </c>
      <c r="I190" s="379"/>
      <c r="J190" s="379"/>
      <c r="K190" s="392">
        <f>SUM(K186:K189)</f>
        <v>81120</v>
      </c>
    </row>
    <row r="191" spans="1:7" ht="12" customHeight="1">
      <c r="A191" s="182"/>
      <c r="B191" s="389" t="s">
        <v>200</v>
      </c>
      <c r="C191" s="390"/>
      <c r="D191" s="414" t="s">
        <v>201</v>
      </c>
      <c r="E191" s="391"/>
      <c r="F191" s="375">
        <f>K186</f>
        <v>0</v>
      </c>
      <c r="G191" s="40"/>
    </row>
    <row r="192" spans="1:7" ht="12" customHeight="1">
      <c r="A192" s="182"/>
      <c r="B192" s="389" t="s">
        <v>202</v>
      </c>
      <c r="C192" s="390"/>
      <c r="D192" s="145" t="s">
        <v>203</v>
      </c>
      <c r="E192" s="264"/>
      <c r="F192" s="375"/>
      <c r="G192" s="40"/>
    </row>
    <row r="193" spans="1:7" ht="12" customHeight="1">
      <c r="A193" s="182"/>
      <c r="B193" s="389" t="s">
        <v>204</v>
      </c>
      <c r="C193" s="390"/>
      <c r="D193" s="9" t="s">
        <v>205</v>
      </c>
      <c r="E193" s="384"/>
      <c r="F193" s="385">
        <f>SUM(F188:F192)</f>
        <v>81120</v>
      </c>
      <c r="G193" s="393"/>
    </row>
    <row r="194" spans="1:10" ht="12" customHeight="1" thickBot="1">
      <c r="A194" s="182"/>
      <c r="B194" s="394" t="s">
        <v>206</v>
      </c>
      <c r="C194" s="395"/>
      <c r="D194" s="415" t="s">
        <v>207</v>
      </c>
      <c r="E194" s="396"/>
      <c r="F194" s="397">
        <f>F193-F187</f>
        <v>-259327.94679999998</v>
      </c>
      <c r="G194" s="398"/>
      <c r="H194" s="318"/>
      <c r="I194" s="318"/>
      <c r="J194" s="318"/>
    </row>
    <row r="195" spans="1:11" ht="12" customHeight="1">
      <c r="A195" s="318"/>
      <c r="F195" s="318"/>
      <c r="G195" s="40"/>
      <c r="H195" s="40"/>
      <c r="I195" s="318"/>
      <c r="J195" s="318"/>
      <c r="K195" s="318"/>
    </row>
    <row r="196" spans="2:5" ht="12" customHeight="1" thickBot="1">
      <c r="B196" s="399" t="s">
        <v>208</v>
      </c>
      <c r="C196" s="318"/>
      <c r="D196" s="399"/>
      <c r="E196" s="318"/>
    </row>
    <row r="197" spans="2:6" ht="12" customHeight="1">
      <c r="B197" s="461" t="s">
        <v>209</v>
      </c>
      <c r="C197" s="462"/>
      <c r="D197" s="461" t="s">
        <v>209</v>
      </c>
      <c r="E197" s="463"/>
      <c r="F197" s="464"/>
    </row>
    <row r="198" spans="2:6" ht="12" customHeight="1" thickBot="1">
      <c r="B198" s="465" t="s">
        <v>210</v>
      </c>
      <c r="C198" s="466"/>
      <c r="D198" s="465" t="s">
        <v>210</v>
      </c>
      <c r="E198" s="466"/>
      <c r="F198" s="467"/>
    </row>
    <row r="199" spans="2:6" ht="12" customHeight="1">
      <c r="B199" s="247" t="s">
        <v>447</v>
      </c>
      <c r="C199" s="468">
        <v>50</v>
      </c>
      <c r="D199" s="249" t="s">
        <v>212</v>
      </c>
      <c r="E199" s="159"/>
      <c r="F199" s="469">
        <v>50</v>
      </c>
    </row>
    <row r="200" spans="2:7" ht="12" customHeight="1">
      <c r="B200" s="247" t="s">
        <v>213</v>
      </c>
      <c r="C200" s="470">
        <v>8</v>
      </c>
      <c r="D200" s="249" t="s">
        <v>214</v>
      </c>
      <c r="E200" s="159"/>
      <c r="F200" s="469">
        <v>1</v>
      </c>
      <c r="G200" s="317" t="s">
        <v>215</v>
      </c>
    </row>
    <row r="201" spans="2:7" ht="12" customHeight="1">
      <c r="B201" s="247" t="s">
        <v>216</v>
      </c>
      <c r="C201" s="471">
        <v>37</v>
      </c>
      <c r="D201" s="249" t="s">
        <v>217</v>
      </c>
      <c r="E201" s="159"/>
      <c r="F201" s="472">
        <v>0.1</v>
      </c>
      <c r="G201" s="317" t="s">
        <v>218</v>
      </c>
    </row>
    <row r="202" spans="2:6" ht="12" customHeight="1">
      <c r="B202" s="247" t="s">
        <v>219</v>
      </c>
      <c r="C202" s="473">
        <v>0.1</v>
      </c>
      <c r="D202" s="249" t="s">
        <v>220</v>
      </c>
      <c r="E202" s="159"/>
      <c r="F202" s="472">
        <v>0.1</v>
      </c>
    </row>
    <row r="203" spans="2:6" ht="12" customHeight="1">
      <c r="B203" s="247" t="s">
        <v>221</v>
      </c>
      <c r="C203" s="473">
        <v>0.05</v>
      </c>
      <c r="D203" s="249" t="s">
        <v>222</v>
      </c>
      <c r="E203" s="159"/>
      <c r="F203" s="472">
        <v>0.05</v>
      </c>
    </row>
    <row r="204" spans="2:6" ht="12" customHeight="1">
      <c r="B204" s="247" t="s">
        <v>223</v>
      </c>
      <c r="C204" s="470">
        <v>1</v>
      </c>
      <c r="D204" s="249" t="s">
        <v>224</v>
      </c>
      <c r="E204" s="159"/>
      <c r="F204" s="469">
        <v>400</v>
      </c>
    </row>
    <row r="205" spans="2:6" ht="12" customHeight="1">
      <c r="B205" s="247" t="s">
        <v>225</v>
      </c>
      <c r="C205" s="470">
        <v>1</v>
      </c>
      <c r="D205" s="249" t="s">
        <v>226</v>
      </c>
      <c r="E205" s="159"/>
      <c r="F205" s="469">
        <v>400</v>
      </c>
    </row>
    <row r="206" spans="2:6" ht="12" customHeight="1">
      <c r="B206" s="247" t="s">
        <v>227</v>
      </c>
      <c r="C206" s="470">
        <v>0</v>
      </c>
      <c r="D206" s="249" t="s">
        <v>228</v>
      </c>
      <c r="E206" s="159"/>
      <c r="F206" s="469">
        <v>15</v>
      </c>
    </row>
    <row r="207" spans="2:6" ht="12" customHeight="1">
      <c r="B207" s="247" t="s">
        <v>229</v>
      </c>
      <c r="C207" s="471">
        <v>500</v>
      </c>
      <c r="D207" s="249" t="s">
        <v>230</v>
      </c>
      <c r="E207" s="159"/>
      <c r="F207" s="469">
        <v>500</v>
      </c>
    </row>
    <row r="208" spans="2:6" ht="12" customHeight="1">
      <c r="B208" s="247" t="s">
        <v>231</v>
      </c>
      <c r="C208" s="471">
        <v>500</v>
      </c>
      <c r="D208" s="249" t="s">
        <v>48</v>
      </c>
      <c r="E208" s="159"/>
      <c r="F208" s="469">
        <v>200</v>
      </c>
    </row>
    <row r="209" spans="2:6" ht="12" customHeight="1">
      <c r="B209" s="255" t="s">
        <v>232</v>
      </c>
      <c r="C209" s="470">
        <v>5</v>
      </c>
      <c r="D209" s="249" t="s">
        <v>233</v>
      </c>
      <c r="E209" s="159"/>
      <c r="F209" s="469">
        <v>200</v>
      </c>
    </row>
    <row r="210" spans="2:6" ht="12" customHeight="1">
      <c r="B210" s="255" t="s">
        <v>234</v>
      </c>
      <c r="C210" s="470">
        <v>5</v>
      </c>
      <c r="D210" s="249" t="s">
        <v>235</v>
      </c>
      <c r="E210" s="159"/>
      <c r="F210" s="474">
        <v>1</v>
      </c>
    </row>
    <row r="211" spans="2:6" ht="12" customHeight="1">
      <c r="B211" s="255" t="s">
        <v>236</v>
      </c>
      <c r="C211" s="470">
        <v>4</v>
      </c>
      <c r="D211" s="249" t="s">
        <v>237</v>
      </c>
      <c r="E211" s="159"/>
      <c r="F211" s="469">
        <v>175</v>
      </c>
    </row>
    <row r="212" spans="2:6" ht="12" customHeight="1">
      <c r="B212" s="255" t="s">
        <v>238</v>
      </c>
      <c r="C212" s="470">
        <v>7</v>
      </c>
      <c r="D212" s="249" t="s">
        <v>239</v>
      </c>
      <c r="E212" s="159"/>
      <c r="F212" s="475">
        <v>0.0833</v>
      </c>
    </row>
    <row r="213" spans="2:6" ht="12" customHeight="1">
      <c r="B213" s="255" t="s">
        <v>240</v>
      </c>
      <c r="C213" s="470">
        <v>4</v>
      </c>
      <c r="D213" s="249" t="s">
        <v>241</v>
      </c>
      <c r="E213" s="159"/>
      <c r="F213" s="475">
        <v>0.128</v>
      </c>
    </row>
    <row r="214" spans="2:6" ht="12" customHeight="1">
      <c r="B214" s="255" t="s">
        <v>242</v>
      </c>
      <c r="C214" s="470">
        <f>6*C211</f>
        <v>24</v>
      </c>
      <c r="D214" s="249" t="s">
        <v>243</v>
      </c>
      <c r="E214" s="159"/>
      <c r="F214" s="469">
        <v>87</v>
      </c>
    </row>
    <row r="215" spans="2:6" ht="12" customHeight="1">
      <c r="B215" s="255" t="s">
        <v>244</v>
      </c>
      <c r="C215" s="470">
        <v>300</v>
      </c>
      <c r="D215" s="249" t="s">
        <v>245</v>
      </c>
      <c r="E215" s="159"/>
      <c r="F215" s="475">
        <v>0.03</v>
      </c>
    </row>
    <row r="216" spans="2:6" ht="12" customHeight="1">
      <c r="B216" s="255"/>
      <c r="C216" s="470"/>
      <c r="D216" s="249" t="s">
        <v>457</v>
      </c>
      <c r="E216" s="159"/>
      <c r="F216" s="475">
        <v>0.03</v>
      </c>
    </row>
    <row r="217" spans="2:6" ht="12" customHeight="1">
      <c r="B217" s="255" t="s">
        <v>418</v>
      </c>
      <c r="C217" s="471">
        <f>20/1.2</f>
        <v>16.666666666666668</v>
      </c>
      <c r="D217" s="249" t="s">
        <v>189</v>
      </c>
      <c r="E217" s="249"/>
      <c r="F217" s="476">
        <v>0</v>
      </c>
    </row>
    <row r="218" spans="2:6" ht="12" customHeight="1">
      <c r="B218" s="255" t="s">
        <v>247</v>
      </c>
      <c r="C218" s="473">
        <v>0.75</v>
      </c>
      <c r="D218" s="249" t="s">
        <v>248</v>
      </c>
      <c r="E218" s="249"/>
      <c r="F218" s="477">
        <v>0</v>
      </c>
    </row>
    <row r="219" spans="2:6" ht="12" customHeight="1">
      <c r="B219" s="255" t="s">
        <v>249</v>
      </c>
      <c r="C219" s="478">
        <v>0.08</v>
      </c>
      <c r="D219" s="184" t="s">
        <v>250</v>
      </c>
      <c r="E219" s="184"/>
      <c r="F219" s="479">
        <v>60</v>
      </c>
    </row>
    <row r="220" spans="2:6" ht="12" customHeight="1">
      <c r="B220" s="255" t="s">
        <v>251</v>
      </c>
      <c r="C220" s="471">
        <v>90</v>
      </c>
      <c r="D220" s="184" t="s">
        <v>252</v>
      </c>
      <c r="E220" s="184"/>
      <c r="F220" s="477">
        <v>0</v>
      </c>
    </row>
    <row r="221" spans="1:6" ht="12" customHeight="1">
      <c r="A221" s="377"/>
      <c r="B221" s="262" t="s">
        <v>253</v>
      </c>
      <c r="C221" s="473">
        <v>0.05</v>
      </c>
      <c r="D221" s="263" t="s">
        <v>254</v>
      </c>
      <c r="E221" s="264"/>
      <c r="F221" s="480">
        <v>0</v>
      </c>
    </row>
    <row r="222" spans="1:6" ht="12" customHeight="1">
      <c r="A222" s="377"/>
      <c r="B222" s="255" t="s">
        <v>255</v>
      </c>
      <c r="C222" s="473">
        <v>0.05</v>
      </c>
      <c r="D222" s="161" t="s">
        <v>256</v>
      </c>
      <c r="F222" s="481">
        <v>0.05</v>
      </c>
    </row>
    <row r="223" spans="1:6" ht="12" customHeight="1">
      <c r="A223" s="377"/>
      <c r="B223" s="262" t="s">
        <v>257</v>
      </c>
      <c r="C223" s="471">
        <v>70</v>
      </c>
      <c r="D223" s="161" t="s">
        <v>258</v>
      </c>
      <c r="E223" s="318"/>
      <c r="F223" s="482">
        <v>150</v>
      </c>
    </row>
    <row r="224" spans="1:9" ht="12" customHeight="1" thickBot="1">
      <c r="A224" s="483"/>
      <c r="B224" s="266" t="s">
        <v>259</v>
      </c>
      <c r="C224" s="484">
        <v>10</v>
      </c>
      <c r="D224" s="267" t="s">
        <v>260</v>
      </c>
      <c r="E224" s="267"/>
      <c r="F224" s="485">
        <v>360</v>
      </c>
      <c r="G224" s="282"/>
      <c r="H224" s="282"/>
      <c r="I224" s="282"/>
    </row>
    <row r="225" spans="1:9" ht="12" customHeight="1">
      <c r="A225" s="282"/>
      <c r="B225" s="282"/>
      <c r="C225" s="282"/>
      <c r="D225" s="282"/>
      <c r="E225" s="282"/>
      <c r="F225" s="282"/>
      <c r="G225" s="282"/>
      <c r="H225" s="282"/>
      <c r="I225" s="282"/>
    </row>
    <row r="226" spans="1:9" ht="12" customHeight="1">
      <c r="A226" s="282"/>
      <c r="B226" s="400" t="s">
        <v>261</v>
      </c>
      <c r="C226" s="282"/>
      <c r="D226" s="282"/>
      <c r="E226" s="282"/>
      <c r="F226" s="282"/>
      <c r="G226" s="282"/>
      <c r="H226" s="282"/>
      <c r="I226" s="282"/>
    </row>
    <row r="227" spans="1:9" ht="12" customHeight="1">
      <c r="A227" s="282"/>
      <c r="B227" s="401"/>
      <c r="C227" s="282"/>
      <c r="D227" s="282"/>
      <c r="E227" s="282"/>
      <c r="F227" s="282"/>
      <c r="G227" s="282"/>
      <c r="H227" s="282"/>
      <c r="I227" s="282"/>
    </row>
    <row r="228" spans="1:9" ht="12" customHeight="1">
      <c r="A228" s="282"/>
      <c r="B228" s="400"/>
      <c r="C228" s="282"/>
      <c r="D228" s="282"/>
      <c r="E228" s="282"/>
      <c r="F228" s="282"/>
      <c r="G228" s="282"/>
      <c r="H228" s="282"/>
      <c r="I228" s="282"/>
    </row>
    <row r="229" spans="1:9" ht="12" customHeight="1">
      <c r="A229" s="282"/>
      <c r="B229" s="282"/>
      <c r="C229" s="282"/>
      <c r="D229" s="282"/>
      <c r="E229" s="282"/>
      <c r="F229" s="402" t="s">
        <v>8</v>
      </c>
      <c r="G229" s="403" t="s">
        <v>262</v>
      </c>
      <c r="H229" s="282"/>
      <c r="I229" s="282"/>
    </row>
    <row r="230" spans="1:9" ht="12" customHeight="1">
      <c r="A230" s="404" t="s">
        <v>263</v>
      </c>
      <c r="B230" s="282"/>
      <c r="C230" s="282"/>
      <c r="D230" s="282" t="s">
        <v>264</v>
      </c>
      <c r="E230" s="282"/>
      <c r="F230" s="282">
        <f>F188+F190+F191</f>
        <v>87300</v>
      </c>
      <c r="G230" s="405" t="e">
        <f>#REF!+#REF!+#REF!</f>
        <v>#REF!</v>
      </c>
      <c r="H230" s="282"/>
      <c r="I230" s="282"/>
    </row>
    <row r="231" spans="1:9" ht="12" customHeight="1">
      <c r="A231" s="282"/>
      <c r="B231" s="404"/>
      <c r="C231" s="282"/>
      <c r="D231" s="282" t="s">
        <v>265</v>
      </c>
      <c r="E231" s="282"/>
      <c r="F231" s="282">
        <f>F192</f>
        <v>0</v>
      </c>
      <c r="G231" s="405" t="e">
        <f>#REF!</f>
        <v>#REF!</v>
      </c>
      <c r="H231" s="282"/>
      <c r="I231" s="282"/>
    </row>
    <row r="232" spans="1:9" ht="12" customHeight="1">
      <c r="A232" s="282"/>
      <c r="B232" s="282"/>
      <c r="C232" s="282"/>
      <c r="D232" s="282" t="s">
        <v>266</v>
      </c>
      <c r="E232" s="282"/>
      <c r="F232" s="282">
        <f>F189</f>
        <v>-6180</v>
      </c>
      <c r="G232" s="405" t="e">
        <f>#REF!</f>
        <v>#REF!</v>
      </c>
      <c r="H232" s="282"/>
      <c r="I232" s="282"/>
    </row>
    <row r="233" spans="1:9" ht="12" customHeight="1">
      <c r="A233" s="282"/>
      <c r="B233" s="282"/>
      <c r="C233" s="282"/>
      <c r="D233" s="406" t="s">
        <v>191</v>
      </c>
      <c r="E233" s="407"/>
      <c r="F233" s="408">
        <f>SUM(F230:F232)</f>
        <v>81120</v>
      </c>
      <c r="G233" s="409" t="e">
        <f>SUM(G230:G232)</f>
        <v>#REF!</v>
      </c>
      <c r="H233" s="282"/>
      <c r="I233" s="282"/>
    </row>
    <row r="234" spans="1:9" ht="12" customHeight="1">
      <c r="A234" s="282"/>
      <c r="B234" s="282"/>
      <c r="C234" s="282"/>
      <c r="D234" s="282"/>
      <c r="E234" s="282"/>
      <c r="F234" s="282"/>
      <c r="G234" s="405"/>
      <c r="H234" s="282"/>
      <c r="I234" s="282"/>
    </row>
    <row r="235" spans="1:9" ht="12" customHeight="1">
      <c r="A235" s="404" t="s">
        <v>267</v>
      </c>
      <c r="B235" s="282"/>
      <c r="C235" s="282"/>
      <c r="D235" s="282"/>
      <c r="E235" s="282"/>
      <c r="F235" s="282"/>
      <c r="G235" s="405"/>
      <c r="H235" s="282"/>
      <c r="I235" s="282"/>
    </row>
    <row r="236" spans="1:11" ht="12" customHeight="1">
      <c r="A236" s="404"/>
      <c r="B236" s="282"/>
      <c r="C236" s="282" t="s">
        <v>268</v>
      </c>
      <c r="D236" s="282"/>
      <c r="E236" s="282"/>
      <c r="F236" s="282">
        <f>I71</f>
        <v>80650</v>
      </c>
      <c r="G236" s="405" t="e">
        <f>#REF!</f>
        <v>#REF!</v>
      </c>
      <c r="H236" s="282"/>
      <c r="I236" s="282" t="s">
        <v>458</v>
      </c>
      <c r="J236" s="317">
        <v>0.16</v>
      </c>
      <c r="K236" s="317">
        <f>F236*J236</f>
        <v>12904</v>
      </c>
    </row>
    <row r="237" spans="1:11" ht="12" customHeight="1">
      <c r="A237" s="282"/>
      <c r="B237" s="282"/>
      <c r="C237" s="282" t="s">
        <v>269</v>
      </c>
      <c r="D237" s="282"/>
      <c r="E237" s="282"/>
      <c r="F237" s="282">
        <f>G17+G25</f>
        <v>48979.526</v>
      </c>
      <c r="G237" s="405" t="e">
        <f>#REF!+#REF!</f>
        <v>#REF!</v>
      </c>
      <c r="H237" s="282"/>
      <c r="I237" s="282" t="s">
        <v>458</v>
      </c>
      <c r="J237" s="317">
        <v>0.16</v>
      </c>
      <c r="K237" s="317">
        <f>F237*J237</f>
        <v>7836.72416</v>
      </c>
    </row>
    <row r="238" spans="1:11" ht="12" customHeight="1">
      <c r="A238" s="282"/>
      <c r="B238" s="282"/>
      <c r="C238" s="282" t="s">
        <v>270</v>
      </c>
      <c r="D238" s="282"/>
      <c r="E238" s="282"/>
      <c r="F238" s="282">
        <f>SUM(C81:D121)+G40+G46</f>
        <v>33263.36</v>
      </c>
      <c r="G238" s="405" t="e">
        <f>SUM(#REF!)+#REF!+#REF!</f>
        <v>#REF!</v>
      </c>
      <c r="H238" s="282"/>
      <c r="I238" s="282" t="s">
        <v>458</v>
      </c>
      <c r="J238" s="317">
        <v>0.16</v>
      </c>
      <c r="K238" s="317">
        <f>F238*J238</f>
        <v>5322.1376</v>
      </c>
    </row>
    <row r="239" spans="1:11" ht="12" customHeight="1">
      <c r="A239" s="282"/>
      <c r="B239" s="282"/>
      <c r="C239" s="282" t="s">
        <v>271</v>
      </c>
      <c r="D239" s="282"/>
      <c r="E239" s="282"/>
      <c r="F239" s="282">
        <f>G32</f>
        <v>17399.4</v>
      </c>
      <c r="G239" s="405" t="e">
        <f>#REF!</f>
        <v>#REF!</v>
      </c>
      <c r="H239" s="282"/>
      <c r="I239" s="282" t="s">
        <v>458</v>
      </c>
      <c r="J239" s="317">
        <v>0.16</v>
      </c>
      <c r="K239" s="317">
        <f>F239*J239</f>
        <v>2783.9040000000005</v>
      </c>
    </row>
    <row r="240" spans="1:11" ht="12" customHeight="1">
      <c r="A240" s="282"/>
      <c r="B240" s="282"/>
      <c r="C240" s="282" t="s">
        <v>272</v>
      </c>
      <c r="D240" s="282"/>
      <c r="E240" s="282"/>
      <c r="F240" s="282">
        <f>SUM(C124:D126)</f>
        <v>35000</v>
      </c>
      <c r="G240" s="405" t="e">
        <f>SUM(#REF!)</f>
        <v>#REF!</v>
      </c>
      <c r="H240" s="282"/>
      <c r="I240" s="282"/>
      <c r="K240" s="317">
        <f>SUM(K236:K239)</f>
        <v>28846.765760000002</v>
      </c>
    </row>
    <row r="241" spans="1:9" ht="12" customHeight="1">
      <c r="A241" s="282"/>
      <c r="B241" s="282"/>
      <c r="C241" s="282" t="s">
        <v>273</v>
      </c>
      <c r="D241" s="282"/>
      <c r="E241" s="282"/>
      <c r="F241" s="282">
        <f>C127+SUM(C139:D141)</f>
        <v>3500</v>
      </c>
      <c r="G241" s="405" t="e">
        <f>SUM(#REF!)+SUM(#REF!)</f>
        <v>#REF!</v>
      </c>
      <c r="H241" s="282"/>
      <c r="I241" s="282"/>
    </row>
    <row r="242" spans="1:9" ht="12" customHeight="1">
      <c r="A242" s="282"/>
      <c r="B242" s="282"/>
      <c r="C242" s="282" t="s">
        <v>274</v>
      </c>
      <c r="D242" s="282"/>
      <c r="E242" s="282"/>
      <c r="F242" s="282">
        <f>SUM(C133:D138)</f>
        <v>5500</v>
      </c>
      <c r="G242" s="405" t="e">
        <f>SUM(#REF!)</f>
        <v>#REF!</v>
      </c>
      <c r="H242" s="282"/>
      <c r="I242" s="282"/>
    </row>
    <row r="243" spans="1:9" ht="12" customHeight="1">
      <c r="A243" s="282"/>
      <c r="B243" s="282"/>
      <c r="C243" s="282" t="s">
        <v>275</v>
      </c>
      <c r="D243" s="282"/>
      <c r="E243" s="282"/>
      <c r="F243" s="282">
        <f>SUM(C130:D131)</f>
        <v>17500</v>
      </c>
      <c r="G243" s="405" t="e">
        <f>SUM(#REF!)</f>
        <v>#REF!</v>
      </c>
      <c r="H243" s="282"/>
      <c r="I243" s="282"/>
    </row>
    <row r="244" spans="1:9" ht="12" customHeight="1">
      <c r="A244" s="282"/>
      <c r="B244" s="282"/>
      <c r="C244" s="282"/>
      <c r="D244" s="282"/>
      <c r="E244" s="282"/>
      <c r="F244" s="408">
        <f>SUM(F236:F243)</f>
        <v>241792.286</v>
      </c>
      <c r="G244" s="409" t="e">
        <f>SUM(G236:G243)</f>
        <v>#REF!</v>
      </c>
      <c r="H244" s="282"/>
      <c r="I244" s="282"/>
    </row>
    <row r="245" spans="1:9" ht="12" customHeight="1">
      <c r="A245" s="282"/>
      <c r="B245" s="282"/>
      <c r="C245" s="282"/>
      <c r="D245" s="282"/>
      <c r="E245" s="282"/>
      <c r="F245" s="282"/>
      <c r="G245" s="405"/>
      <c r="H245" s="282"/>
      <c r="I245" s="282"/>
    </row>
    <row r="246" spans="1:9" ht="12" customHeight="1">
      <c r="A246" s="404" t="s">
        <v>276</v>
      </c>
      <c r="B246" s="282"/>
      <c r="C246" s="282"/>
      <c r="D246" s="282"/>
      <c r="E246" s="282"/>
      <c r="F246" s="282"/>
      <c r="G246" s="405"/>
      <c r="H246" s="282"/>
      <c r="I246" s="282"/>
    </row>
    <row r="247" spans="1:9" ht="12" customHeight="1">
      <c r="A247" s="282"/>
      <c r="B247" s="282"/>
      <c r="C247" s="282" t="s">
        <v>269</v>
      </c>
      <c r="D247" s="282"/>
      <c r="E247" s="282"/>
      <c r="F247" s="282">
        <f>J17+J25</f>
        <v>41207.8208</v>
      </c>
      <c r="G247" s="405" t="e">
        <f>#REF!+#REF!</f>
        <v>#REF!</v>
      </c>
      <c r="H247" s="282"/>
      <c r="I247" s="282"/>
    </row>
    <row r="248" spans="1:9" ht="12" customHeight="1">
      <c r="A248" s="282"/>
      <c r="B248" s="282"/>
      <c r="C248" s="282" t="s">
        <v>277</v>
      </c>
      <c r="D248" s="282"/>
      <c r="E248" s="282"/>
      <c r="F248" s="282">
        <f>J32+J40+J46</f>
        <v>27047.84</v>
      </c>
      <c r="G248" s="405" t="e">
        <f>#REF!+#REF!+#REF!</f>
        <v>#REF!</v>
      </c>
      <c r="H248" s="282"/>
      <c r="I248" s="282"/>
    </row>
    <row r="249" spans="1:9" ht="12" customHeight="1">
      <c r="A249" s="282"/>
      <c r="B249" s="282"/>
      <c r="C249" s="282" t="s">
        <v>156</v>
      </c>
      <c r="D249" s="282"/>
      <c r="E249" s="282"/>
      <c r="F249" s="282">
        <f>SUM(D154:D166)</f>
        <v>19600</v>
      </c>
      <c r="G249" s="405" t="e">
        <f>SUM(#REF!)</f>
        <v>#REF!</v>
      </c>
      <c r="H249" s="282"/>
      <c r="I249" s="282"/>
    </row>
    <row r="250" spans="1:9" ht="12" customHeight="1">
      <c r="A250" s="282"/>
      <c r="B250" s="282"/>
      <c r="C250" s="282" t="s">
        <v>278</v>
      </c>
      <c r="D250" s="282"/>
      <c r="E250" s="282"/>
      <c r="F250" s="282">
        <f>SUM(D168:D172)</f>
        <v>10800</v>
      </c>
      <c r="G250" s="405" t="e">
        <f>SUM(#REF!)</f>
        <v>#REF!</v>
      </c>
      <c r="H250" s="282"/>
      <c r="I250" s="282"/>
    </row>
    <row r="251" spans="1:9" ht="12" customHeight="1">
      <c r="A251" s="282"/>
      <c r="B251" s="282"/>
      <c r="C251" s="282"/>
      <c r="D251" s="282"/>
      <c r="E251" s="282"/>
      <c r="F251" s="408">
        <f>SUM(F247:F250)</f>
        <v>98655.6608</v>
      </c>
      <c r="G251" s="409" t="e">
        <f>SUM(G247:G250)</f>
        <v>#REF!</v>
      </c>
      <c r="H251" s="282"/>
      <c r="I251" s="282"/>
    </row>
    <row r="252" spans="1:9" ht="12" customHeight="1">
      <c r="A252" s="282"/>
      <c r="B252" s="282"/>
      <c r="C252" s="282"/>
      <c r="D252" s="282"/>
      <c r="E252" s="282"/>
      <c r="F252" s="282"/>
      <c r="G252" s="405"/>
      <c r="H252" s="282"/>
      <c r="I252" s="282"/>
    </row>
    <row r="253" spans="1:9" ht="12" customHeight="1" thickBot="1">
      <c r="A253" s="282"/>
      <c r="B253" s="282"/>
      <c r="C253" s="404" t="s">
        <v>358</v>
      </c>
      <c r="D253" s="282"/>
      <c r="E253" s="282"/>
      <c r="F253" s="410">
        <f>F233-F244-F251</f>
        <v>-259327.94679999998</v>
      </c>
      <c r="G253" s="411" t="e">
        <f>G233-G244-G251</f>
        <v>#REF!</v>
      </c>
      <c r="H253" s="282"/>
      <c r="I253" s="282"/>
    </row>
    <row r="254" spans="1:9" ht="12" customHeight="1">
      <c r="A254" s="282"/>
      <c r="B254" s="282"/>
      <c r="C254" s="282"/>
      <c r="D254" s="282"/>
      <c r="E254" s="282"/>
      <c r="F254" s="282"/>
      <c r="G254" s="282"/>
      <c r="H254" s="282"/>
      <c r="I254" s="282"/>
    </row>
    <row r="255" spans="1:9" ht="12" customHeight="1">
      <c r="A255" s="282"/>
      <c r="B255" s="282"/>
      <c r="C255" s="282" t="s">
        <v>359</v>
      </c>
      <c r="D255" s="282"/>
      <c r="E255" s="282"/>
      <c r="F255" s="282"/>
      <c r="G255" s="282"/>
      <c r="H255" s="282"/>
      <c r="I255" s="282"/>
    </row>
    <row r="256" spans="1:9" ht="12" customHeight="1">
      <c r="A256" s="282"/>
      <c r="B256" s="282"/>
      <c r="C256" s="282"/>
      <c r="D256" s="282"/>
      <c r="E256" s="282"/>
      <c r="F256" s="282"/>
      <c r="G256" s="282"/>
      <c r="H256" s="282"/>
      <c r="I256" s="282"/>
    </row>
    <row r="257" spans="1:9" ht="12" customHeight="1">
      <c r="A257" s="282"/>
      <c r="B257" s="282"/>
      <c r="C257" s="404" t="s">
        <v>360</v>
      </c>
      <c r="D257" s="282"/>
      <c r="E257" s="282"/>
      <c r="F257" s="282"/>
      <c r="G257" s="282" t="e">
        <f>G253-G255</f>
        <v>#REF!</v>
      </c>
      <c r="H257" s="282"/>
      <c r="I257" s="28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150" zoomScaleNormal="15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11.421875" defaultRowHeight="12.75"/>
  <cols>
    <col min="1" max="1" width="40.7109375" style="290" bestFit="1" customWidth="1"/>
    <col min="2" max="2" width="14.421875" style="290" bestFit="1" customWidth="1"/>
    <col min="3" max="3" width="12.7109375" style="290" bestFit="1" customWidth="1"/>
    <col min="4" max="4" width="10.140625" style="285" bestFit="1" customWidth="1"/>
    <col min="5" max="5" width="12.421875" style="291" customWidth="1"/>
    <col min="6" max="6" width="11.421875" style="291" customWidth="1"/>
    <col min="7" max="16384" width="11.421875" style="290" customWidth="1"/>
  </cols>
  <sheetData>
    <row r="1" spans="1:6" s="285" customFormat="1" ht="12">
      <c r="A1" s="284" t="s">
        <v>421</v>
      </c>
      <c r="B1" s="285" t="s">
        <v>422</v>
      </c>
      <c r="C1" s="285" t="s">
        <v>433</v>
      </c>
      <c r="D1" s="285" t="s">
        <v>361</v>
      </c>
      <c r="E1" s="286"/>
      <c r="F1" s="286"/>
    </row>
    <row r="2" spans="2:6" s="285" customFormat="1" ht="12">
      <c r="B2" s="285" t="s">
        <v>410</v>
      </c>
      <c r="C2" s="285" t="s">
        <v>425</v>
      </c>
      <c r="E2" s="286"/>
      <c r="F2" s="286"/>
    </row>
    <row r="3" spans="1:6" s="418" customFormat="1" ht="12">
      <c r="A3" s="298"/>
      <c r="B3" s="418" t="s">
        <v>423</v>
      </c>
      <c r="C3" s="418" t="s">
        <v>434</v>
      </c>
      <c r="E3" s="419"/>
      <c r="F3" s="419"/>
    </row>
    <row r="4" spans="1:7" s="421" customFormat="1" ht="11.25">
      <c r="A4" s="420" t="s">
        <v>362</v>
      </c>
      <c r="B4" s="421" t="s">
        <v>391</v>
      </c>
      <c r="C4" s="421" t="s">
        <v>443</v>
      </c>
      <c r="F4" s="422"/>
      <c r="G4" s="422"/>
    </row>
    <row r="5" ht="12">
      <c r="A5" s="287" t="s">
        <v>363</v>
      </c>
    </row>
    <row r="6" ht="12">
      <c r="A6" s="287" t="s">
        <v>364</v>
      </c>
    </row>
    <row r="7" spans="1:3" ht="12">
      <c r="A7" s="292" t="s">
        <v>365</v>
      </c>
      <c r="B7" s="290">
        <f>400*'HCoC SSp Summary'!B9</f>
        <v>300</v>
      </c>
      <c r="C7" s="290">
        <f>500*'HCoC SSp Summary'!C9</f>
        <v>375</v>
      </c>
    </row>
    <row r="8" spans="1:4" ht="12">
      <c r="A8" s="292" t="s">
        <v>418</v>
      </c>
      <c r="B8" s="293">
        <f>'Return to Vegas'!K182</f>
        <v>16.666666666666668</v>
      </c>
      <c r="C8" s="293">
        <f>'Ballad of Big Lil'!K184</f>
        <v>16.666666666666668</v>
      </c>
      <c r="D8" s="294"/>
    </row>
    <row r="9" spans="1:3" ht="12">
      <c r="A9" s="292" t="s">
        <v>366</v>
      </c>
      <c r="B9" s="295">
        <f>'Return to Vegas'!K181</f>
        <v>0.75</v>
      </c>
      <c r="C9" s="295">
        <f>'Ballad of Big Lil'!K183</f>
        <v>0.75</v>
      </c>
    </row>
    <row r="10" spans="1:4" ht="12">
      <c r="A10" s="292" t="s">
        <v>367</v>
      </c>
      <c r="B10" s="296">
        <f>'Return to Vegas'!K183</f>
        <v>6000</v>
      </c>
      <c r="C10" s="296">
        <f>'Ballad of Big Lil'!K185</f>
        <v>5400</v>
      </c>
      <c r="D10" s="297">
        <f>SUM(B10:C10)</f>
        <v>11400</v>
      </c>
    </row>
    <row r="11" ht="12">
      <c r="A11" s="292"/>
    </row>
    <row r="12" spans="1:3" ht="12">
      <c r="A12" s="292" t="s">
        <v>382</v>
      </c>
      <c r="B12" s="290">
        <f>'Return to Vegas'!K185</f>
        <v>100000</v>
      </c>
      <c r="C12" s="290">
        <f>'Ballad of Big Lil'!K187</f>
        <v>90000</v>
      </c>
    </row>
    <row r="13" ht="12">
      <c r="A13" s="292" t="s">
        <v>368</v>
      </c>
    </row>
    <row r="14" ht="12">
      <c r="A14" s="292" t="s">
        <v>369</v>
      </c>
    </row>
    <row r="15" spans="1:4" ht="12">
      <c r="A15" s="287" t="s">
        <v>370</v>
      </c>
      <c r="B15" s="290">
        <f>'Return to Vegas'!K184</f>
        <v>0</v>
      </c>
      <c r="C15" s="290">
        <f>'Ballad of Big Lil'!K186</f>
        <v>0</v>
      </c>
      <c r="D15" s="297">
        <f>SUM(B15:C15)</f>
        <v>0</v>
      </c>
    </row>
    <row r="16" spans="1:3" ht="12">
      <c r="A16" s="287" t="s">
        <v>371</v>
      </c>
      <c r="B16" s="290">
        <f>'Return to Vegas'!K186</f>
        <v>-3000</v>
      </c>
      <c r="C16" s="290">
        <f>'Ballad of Big Lil'!K188</f>
        <v>-2700</v>
      </c>
    </row>
    <row r="17" spans="1:3" ht="12">
      <c r="A17" s="287" t="s">
        <v>372</v>
      </c>
      <c r="B17" s="290">
        <f>'Return to Vegas'!K187</f>
        <v>-8583.333333333334</v>
      </c>
      <c r="C17" s="290">
        <f>'Ballad of Big Lil'!K189</f>
        <v>-6180</v>
      </c>
    </row>
    <row r="18" spans="1:4" ht="12">
      <c r="A18" s="298"/>
      <c r="B18" s="296">
        <f>SUM(B12:B17)</f>
        <v>88416.66666666667</v>
      </c>
      <c r="C18" s="296">
        <f>SUM(C12:C17)</f>
        <v>81120</v>
      </c>
      <c r="D18" s="297">
        <f>SUM(B18:C18)</f>
        <v>169536.6666666667</v>
      </c>
    </row>
    <row r="19" ht="12">
      <c r="A19" s="298"/>
    </row>
    <row r="20" ht="12">
      <c r="A20" s="287" t="s">
        <v>374</v>
      </c>
    </row>
    <row r="21" spans="1:3" ht="12">
      <c r="A21" s="292" t="s">
        <v>82</v>
      </c>
      <c r="B21" s="454">
        <f>'Return to Vegas'!F233</f>
        <v>49350</v>
      </c>
      <c r="C21" s="454">
        <f>'Ballad of Big Lil'!F236</f>
        <v>80650</v>
      </c>
    </row>
    <row r="22" spans="1:3" ht="12">
      <c r="A22" s="292" t="s">
        <v>375</v>
      </c>
      <c r="B22" s="454">
        <f>'Return to Vegas'!F234</f>
        <v>57213.418</v>
      </c>
      <c r="C22" s="454">
        <f>'Ballad of Big Lil'!F237</f>
        <v>48979.526</v>
      </c>
    </row>
    <row r="23" spans="1:3" ht="12">
      <c r="A23" s="292" t="s">
        <v>376</v>
      </c>
      <c r="B23" s="454">
        <f>'Return to Vegas'!F235</f>
        <v>29163.36</v>
      </c>
      <c r="C23" s="454">
        <f>'Ballad of Big Lil'!F238</f>
        <v>33263.36</v>
      </c>
    </row>
    <row r="24" spans="1:3" ht="12">
      <c r="A24" s="292" t="s">
        <v>377</v>
      </c>
      <c r="B24" s="454">
        <f>'Return to Vegas'!F236</f>
        <v>13648.8</v>
      </c>
      <c r="C24" s="454">
        <f>'Ballad of Big Lil'!F239</f>
        <v>17399.4</v>
      </c>
    </row>
    <row r="25" spans="1:3" ht="12">
      <c r="A25" s="292" t="s">
        <v>378</v>
      </c>
      <c r="B25" s="454">
        <f>'Return to Vegas'!F237</f>
        <v>25000</v>
      </c>
      <c r="C25" s="454">
        <f>'Ballad of Big Lil'!F240</f>
        <v>35000</v>
      </c>
    </row>
    <row r="26" spans="1:3" ht="12">
      <c r="A26" s="292" t="s">
        <v>379</v>
      </c>
      <c r="B26" s="454">
        <f>'Return to Vegas'!F238</f>
        <v>3500</v>
      </c>
      <c r="C26" s="454">
        <f>'Ballad of Big Lil'!F241</f>
        <v>3500</v>
      </c>
    </row>
    <row r="27" spans="1:3" ht="12">
      <c r="A27" s="292" t="s">
        <v>380</v>
      </c>
      <c r="B27" s="454">
        <f>'Return to Vegas'!F239</f>
        <v>6000</v>
      </c>
      <c r="C27" s="454">
        <f>'Ballad of Big Lil'!F242</f>
        <v>5500</v>
      </c>
    </row>
    <row r="28" spans="1:6" s="444" customFormat="1" ht="12">
      <c r="A28" s="304" t="s">
        <v>275</v>
      </c>
      <c r="B28" s="441">
        <f>'Return to Vegas'!F240</f>
        <v>17500</v>
      </c>
      <c r="C28" s="290">
        <f>'Ballad of Big Lil'!F243</f>
        <v>17500</v>
      </c>
      <c r="D28" s="442">
        <f>SUM(B28:C28)</f>
        <v>35000</v>
      </c>
      <c r="E28" s="443"/>
      <c r="F28" s="443"/>
    </row>
    <row r="29" ht="12">
      <c r="A29" s="292" t="s">
        <v>381</v>
      </c>
    </row>
    <row r="30" spans="1:4" ht="12">
      <c r="A30" s="298" t="s">
        <v>373</v>
      </c>
      <c r="B30" s="296">
        <f>SUM(B21:B29)</f>
        <v>201375.57799999998</v>
      </c>
      <c r="C30" s="296">
        <f>SUM(C21:C29)</f>
        <v>241792.286</v>
      </c>
      <c r="D30" s="297">
        <f>SUM(B30:C30)</f>
        <v>443167.86399999994</v>
      </c>
    </row>
    <row r="31" spans="1:4" ht="12">
      <c r="A31" s="292"/>
      <c r="B31" s="291"/>
      <c r="C31" s="291"/>
      <c r="D31" s="286"/>
    </row>
    <row r="32" ht="12">
      <c r="A32" s="287" t="s">
        <v>156</v>
      </c>
    </row>
    <row r="33" spans="1:3" ht="12">
      <c r="A33" s="292" t="s">
        <v>375</v>
      </c>
      <c r="B33" s="290">
        <f>'Return to Vegas'!F244</f>
        <v>47354.7344</v>
      </c>
      <c r="C33" s="290">
        <f>'Ballad of Big Lil'!F247</f>
        <v>41207.8208</v>
      </c>
    </row>
    <row r="34" spans="1:3" ht="12">
      <c r="A34" s="292" t="s">
        <v>277</v>
      </c>
      <c r="B34" s="290">
        <f>'Return to Vegas'!F245</f>
        <v>21162.239999999998</v>
      </c>
      <c r="C34" s="290">
        <f>'Ballad of Big Lil'!F248</f>
        <v>27047.84</v>
      </c>
    </row>
    <row r="35" spans="1:3" ht="12">
      <c r="A35" s="292" t="s">
        <v>156</v>
      </c>
      <c r="B35" s="290">
        <f>'Return to Vegas'!F246</f>
        <v>12400</v>
      </c>
      <c r="C35" s="290">
        <f>'Ballad of Big Lil'!F249</f>
        <v>19600</v>
      </c>
    </row>
    <row r="36" spans="1:3" ht="12">
      <c r="A36" s="292" t="s">
        <v>278</v>
      </c>
      <c r="B36" s="290">
        <f>'Return to Vegas'!F247</f>
        <v>9000</v>
      </c>
      <c r="C36" s="290">
        <f>'Ballad of Big Lil'!F250</f>
        <v>10800</v>
      </c>
    </row>
    <row r="37" spans="1:4" ht="12">
      <c r="A37" s="298" t="s">
        <v>373</v>
      </c>
      <c r="B37" s="296">
        <f>SUM(B33:B36)</f>
        <v>89916.9744</v>
      </c>
      <c r="C37" s="296">
        <f>SUM(C33:C36)</f>
        <v>98655.6608</v>
      </c>
      <c r="D37" s="297">
        <f>SUM(B37:C37)</f>
        <v>188572.63520000002</v>
      </c>
    </row>
    <row r="38" spans="1:4" ht="12">
      <c r="A38" s="292"/>
      <c r="B38" s="291"/>
      <c r="C38" s="291"/>
      <c r="D38" s="286"/>
    </row>
    <row r="39" spans="1:4" ht="12.75" thickBot="1">
      <c r="A39" s="299" t="s">
        <v>403</v>
      </c>
      <c r="B39" s="300">
        <f>B18-B30-B37</f>
        <v>-202875.8857333333</v>
      </c>
      <c r="C39" s="300">
        <f>C18-C30-C37</f>
        <v>-259327.94679999998</v>
      </c>
      <c r="D39" s="301">
        <f>SUM(B39:C39)</f>
        <v>-462203.8325333333</v>
      </c>
    </row>
    <row r="40" spans="1:4" ht="12">
      <c r="A40" s="288"/>
      <c r="B40" s="289"/>
      <c r="C40" s="289"/>
      <c r="D40" s="289"/>
    </row>
    <row r="41" spans="1:4" ht="12">
      <c r="A41" s="452" t="s">
        <v>435</v>
      </c>
      <c r="B41" s="453">
        <f>0.16*(SUM(B21:B27))</f>
        <v>29420.092479999996</v>
      </c>
      <c r="C41" s="453">
        <f>0.16*(SUM(C21:C27))</f>
        <v>35886.76576</v>
      </c>
      <c r="D41" s="289"/>
    </row>
    <row r="42" ht="12">
      <c r="A42" s="292"/>
    </row>
    <row r="43" ht="12">
      <c r="A43" s="292"/>
    </row>
    <row r="44" spans="1:4" ht="12.75" thickBot="1">
      <c r="A44" s="290" t="s">
        <v>436</v>
      </c>
      <c r="B44" s="300">
        <f>B39+B41</f>
        <v>-173455.7932533333</v>
      </c>
      <c r="C44" s="300">
        <f>C39+C41</f>
        <v>-223441.18103999997</v>
      </c>
      <c r="D44" s="301">
        <f>SUM(B44:C44)</f>
        <v>-396896.97429333325</v>
      </c>
    </row>
    <row r="45" ht="12">
      <c r="A45" s="292"/>
    </row>
    <row r="46" spans="1:6" ht="12">
      <c r="A46" s="287" t="s">
        <v>383</v>
      </c>
      <c r="E46" s="288"/>
      <c r="F46" s="288"/>
    </row>
    <row r="47" spans="1:4" ht="12">
      <c r="A47" s="302" t="s">
        <v>384</v>
      </c>
      <c r="B47" s="290">
        <f>'Return to Vegas'!C212</f>
        <v>20</v>
      </c>
      <c r="C47" s="290">
        <f>'Ballad of Big Lil'!C214</f>
        <v>24</v>
      </c>
      <c r="D47" s="286">
        <f>SUM(B47:C47)</f>
        <v>44</v>
      </c>
    </row>
    <row r="48" spans="1:4" ht="12">
      <c r="A48" s="302" t="s">
        <v>390</v>
      </c>
      <c r="B48" s="290">
        <f>'Return to Vegas'!C207</f>
        <v>5</v>
      </c>
      <c r="C48" s="290">
        <f>'Ballad of Big Lil'!C209</f>
        <v>5</v>
      </c>
      <c r="D48" s="286">
        <f>SUM(B48:C48)</f>
        <v>10</v>
      </c>
    </row>
    <row r="49" spans="1:4" ht="12">
      <c r="A49" s="302" t="s">
        <v>385</v>
      </c>
      <c r="B49" s="290">
        <f>'Return to Vegas'!C209</f>
        <v>4</v>
      </c>
      <c r="C49" s="290">
        <f>'Ballad of Big Lil'!C211</f>
        <v>4</v>
      </c>
      <c r="D49" s="286">
        <f>SUM(B49:C49)</f>
        <v>8</v>
      </c>
    </row>
    <row r="50" spans="1:4" ht="12">
      <c r="A50" s="303" t="s">
        <v>386</v>
      </c>
      <c r="D50" s="286"/>
    </row>
    <row r="51" spans="1:6" ht="12">
      <c r="A51" s="302" t="s">
        <v>20</v>
      </c>
      <c r="B51" s="290">
        <f>'Return to Vegas'!C210</f>
        <v>8</v>
      </c>
      <c r="C51" s="290">
        <f>'Ballad of Big Lil'!C212</f>
        <v>7</v>
      </c>
      <c r="D51" s="286">
        <f>SUM(B51:C51)</f>
        <v>15</v>
      </c>
      <c r="F51" s="290"/>
    </row>
    <row r="52" spans="1:6" ht="12">
      <c r="A52" s="302" t="s">
        <v>387</v>
      </c>
      <c r="B52" s="290">
        <f>'Return to Vegas'!C211</f>
        <v>5</v>
      </c>
      <c r="C52" s="290">
        <f>'Ballad of Big Lil'!C213</f>
        <v>4</v>
      </c>
      <c r="D52" s="286">
        <f>SUM(B52:C52)</f>
        <v>9</v>
      </c>
      <c r="F52" s="290"/>
    </row>
    <row r="53" spans="1:4" ht="12">
      <c r="A53" s="290" t="s">
        <v>388</v>
      </c>
      <c r="B53" s="290">
        <f>B51*(B49+B48)</f>
        <v>72</v>
      </c>
      <c r="C53" s="290">
        <f>C51*(C49+C48)</f>
        <v>63</v>
      </c>
      <c r="D53" s="286">
        <f>SUM(B53:C53)</f>
        <v>135</v>
      </c>
    </row>
    <row r="54" spans="1:4" ht="12">
      <c r="A54" s="290" t="s">
        <v>389</v>
      </c>
      <c r="B54" s="290">
        <f>B52*(B49+B48)</f>
        <v>45</v>
      </c>
      <c r="C54" s="290">
        <f>C52*(C49+C48)</f>
        <v>36</v>
      </c>
      <c r="D54" s="286">
        <f>SUM(B54:C54)</f>
        <v>81</v>
      </c>
    </row>
  </sheetData>
  <sheetProtection/>
  <printOptions/>
  <pageMargins left="0.42" right="0.51" top="0.67" bottom="0.73" header="0.5" footer="0.5"/>
  <pageSetup fitToHeight="1" fitToWidth="1" horizontalDpi="300" verticalDpi="300" orientation="portrait" paperSize="9" scale="91"/>
  <headerFooter alignWithMargins="0">
    <oddFooter>&amp;L&amp;D&amp;R&amp;Z&amp;F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49"/>
  <sheetViews>
    <sheetView zoomScalePageLayoutView="0" workbookViewId="0" topLeftCell="A230">
      <selection activeCell="G255" sqref="G255"/>
    </sheetView>
  </sheetViews>
  <sheetFormatPr defaultColWidth="10.28125" defaultRowHeight="14.25" customHeight="1"/>
  <cols>
    <col min="1" max="1" width="11.8515625" style="17" customWidth="1"/>
    <col min="2" max="2" width="21.421875" style="17" customWidth="1"/>
    <col min="3" max="3" width="9.140625" style="17" customWidth="1"/>
    <col min="4" max="4" width="8.8515625" style="17" customWidth="1"/>
    <col min="5" max="5" width="9.421875" style="17" customWidth="1"/>
    <col min="6" max="8" width="10.28125" style="17" customWidth="1"/>
    <col min="9" max="9" width="9.8515625" style="17" customWidth="1"/>
    <col min="10" max="10" width="9.140625" style="17" customWidth="1"/>
    <col min="11" max="11" width="10.421875" style="17" customWidth="1"/>
    <col min="12" max="13" width="9.8515625" style="17" customWidth="1"/>
    <col min="14" max="16384" width="10.28125" style="17" customWidth="1"/>
  </cols>
  <sheetData>
    <row r="1" spans="1:6" s="6" customFormat="1" ht="14.25" customHeight="1">
      <c r="A1" s="1" t="s">
        <v>0</v>
      </c>
      <c r="B1" s="2"/>
      <c r="C1" s="1"/>
      <c r="D1" s="3" t="s">
        <v>1</v>
      </c>
      <c r="E1" s="4"/>
      <c r="F1" s="5"/>
    </row>
    <row r="2" spans="1:6" s="6" customFormat="1" ht="14.25" customHeight="1">
      <c r="A2" s="7" t="s">
        <v>2</v>
      </c>
      <c r="B2" s="2"/>
      <c r="C2" s="8"/>
      <c r="D2" s="9" t="s">
        <v>3</v>
      </c>
      <c r="E2" s="10"/>
      <c r="F2" s="11"/>
    </row>
    <row r="3" spans="1:6" s="6" customFormat="1" ht="14.25" customHeight="1" thickBot="1">
      <c r="A3" s="7" t="s">
        <v>442</v>
      </c>
      <c r="B3" s="12"/>
      <c r="C3" s="13"/>
      <c r="D3" s="14"/>
      <c r="E3" s="15"/>
      <c r="F3" s="16"/>
    </row>
    <row r="4" ht="14.25" customHeight="1" thickBot="1">
      <c r="M4" s="18"/>
    </row>
    <row r="5" spans="1:13" ht="14.25" customHeight="1" thickBot="1">
      <c r="A5" s="19" t="s">
        <v>5</v>
      </c>
      <c r="B5" s="20" t="s">
        <v>6</v>
      </c>
      <c r="C5" s="21" t="s">
        <v>7</v>
      </c>
      <c r="D5" s="22"/>
      <c r="E5" s="22"/>
      <c r="F5" s="22"/>
      <c r="G5" s="23" t="s">
        <v>8</v>
      </c>
      <c r="H5" s="22" t="s">
        <v>9</v>
      </c>
      <c r="I5" s="24" t="s">
        <v>10</v>
      </c>
      <c r="J5" s="25"/>
      <c r="K5" s="23" t="s">
        <v>8</v>
      </c>
      <c r="L5" s="23" t="s">
        <v>9</v>
      </c>
      <c r="M5" s="26"/>
    </row>
    <row r="6" spans="1:13" ht="14.25" customHeight="1" thickBot="1">
      <c r="A6" s="27"/>
      <c r="B6" s="19" t="s">
        <v>11</v>
      </c>
      <c r="C6" s="28" t="s">
        <v>12</v>
      </c>
      <c r="D6" s="28" t="s">
        <v>13</v>
      </c>
      <c r="E6" s="28" t="s">
        <v>14</v>
      </c>
      <c r="F6" s="28" t="s">
        <v>15</v>
      </c>
      <c r="G6" s="29" t="s">
        <v>16</v>
      </c>
      <c r="H6" s="30"/>
      <c r="I6" s="28" t="s">
        <v>17</v>
      </c>
      <c r="J6" s="31" t="s">
        <v>15</v>
      </c>
      <c r="K6" s="29" t="s">
        <v>18</v>
      </c>
      <c r="L6" s="30"/>
      <c r="M6" s="32"/>
    </row>
    <row r="7" spans="1:13" ht="14.25" customHeight="1">
      <c r="A7" s="33" t="s">
        <v>19</v>
      </c>
      <c r="B7" s="33" t="s">
        <v>20</v>
      </c>
      <c r="C7" s="34" t="str">
        <f>$C$204</f>
        <v>-</v>
      </c>
      <c r="D7" s="34" t="str">
        <f aca="true" t="shared" si="0" ref="D7:D16">$C$201</f>
        <v>-</v>
      </c>
      <c r="E7" s="35">
        <f>$C$199</f>
        <v>460</v>
      </c>
      <c r="F7" s="35" t="e">
        <f>C7*E7</f>
        <v>#VALUE!</v>
      </c>
      <c r="G7" s="39" t="e">
        <f>D7*F7</f>
        <v>#VALUE!</v>
      </c>
      <c r="H7" s="37"/>
      <c r="I7" s="35">
        <f>$C$199</f>
        <v>460</v>
      </c>
      <c r="J7" s="438" t="e">
        <f>C7*I7</f>
        <v>#VALUE!</v>
      </c>
      <c r="K7" s="39" t="e">
        <f>J7*$C$203</f>
        <v>#VALUE!</v>
      </c>
      <c r="L7" s="37"/>
      <c r="M7" s="40"/>
    </row>
    <row r="8" spans="1:13" ht="14.25" customHeight="1">
      <c r="A8" s="41" t="s">
        <v>21</v>
      </c>
      <c r="B8" s="41" t="s">
        <v>22</v>
      </c>
      <c r="C8" s="42">
        <f>$F$211</f>
        <v>0</v>
      </c>
      <c r="D8" s="34" t="str">
        <f t="shared" si="0"/>
        <v>-</v>
      </c>
      <c r="E8" s="35">
        <f>$F$210</f>
        <v>60</v>
      </c>
      <c r="F8" s="35">
        <f aca="true" t="shared" si="1" ref="F8:G14">C8*E8</f>
        <v>0</v>
      </c>
      <c r="G8" s="36" t="e">
        <f t="shared" si="1"/>
        <v>#VALUE!</v>
      </c>
      <c r="H8" s="37"/>
      <c r="I8" s="35">
        <f>$F$210</f>
        <v>60</v>
      </c>
      <c r="J8" s="38">
        <f aca="true" t="shared" si="2" ref="J8:J16">C8*I8</f>
        <v>0</v>
      </c>
      <c r="K8" s="36" t="e">
        <f>$J$8*$C$203</f>
        <v>#VALUE!</v>
      </c>
      <c r="L8" s="37"/>
      <c r="M8" s="40"/>
    </row>
    <row r="9" spans="1:13" ht="14.25" customHeight="1">
      <c r="A9" s="41" t="s">
        <v>23</v>
      </c>
      <c r="B9" s="41" t="s">
        <v>24</v>
      </c>
      <c r="C9" s="42">
        <f>$F$212</f>
        <v>0</v>
      </c>
      <c r="D9" s="34" t="str">
        <f t="shared" si="0"/>
        <v>-</v>
      </c>
      <c r="E9" s="35">
        <f>$C$193</f>
        <v>40</v>
      </c>
      <c r="F9" s="35">
        <f t="shared" si="1"/>
        <v>0</v>
      </c>
      <c r="G9" s="36" t="e">
        <f t="shared" si="1"/>
        <v>#VALUE!</v>
      </c>
      <c r="H9" s="37"/>
      <c r="I9" s="35">
        <f>$C$193</f>
        <v>40</v>
      </c>
      <c r="J9" s="38">
        <f t="shared" si="2"/>
        <v>0</v>
      </c>
      <c r="K9" s="36" t="e">
        <f>$J$9*$C$203</f>
        <v>#VALUE!</v>
      </c>
      <c r="L9" s="37"/>
      <c r="M9" s="40"/>
    </row>
    <row r="10" spans="1:13" ht="14.25" customHeight="1">
      <c r="A10" s="41" t="s">
        <v>25</v>
      </c>
      <c r="B10" s="41" t="s">
        <v>26</v>
      </c>
      <c r="C10" s="34" t="str">
        <f aca="true" t="shared" si="3" ref="C10:C16">$C$204</f>
        <v>-</v>
      </c>
      <c r="D10" s="34" t="str">
        <f t="shared" si="0"/>
        <v>-</v>
      </c>
      <c r="E10" s="35">
        <f>SUM($E$7*$C$212)</f>
        <v>23</v>
      </c>
      <c r="F10" s="35" t="e">
        <f t="shared" si="1"/>
        <v>#VALUE!</v>
      </c>
      <c r="G10" s="36" t="e">
        <f t="shared" si="1"/>
        <v>#VALUE!</v>
      </c>
      <c r="H10" s="37"/>
      <c r="I10" s="35">
        <f>SUM($E$7*$C$195)</f>
        <v>23</v>
      </c>
      <c r="J10" s="38" t="e">
        <f t="shared" si="2"/>
        <v>#VALUE!</v>
      </c>
      <c r="K10" s="36" t="e">
        <f>$J$10*$C$203</f>
        <v>#VALUE!</v>
      </c>
      <c r="L10" s="37"/>
      <c r="M10" s="40"/>
    </row>
    <row r="11" spans="1:13" ht="14.25" customHeight="1">
      <c r="A11" s="41" t="s">
        <v>27</v>
      </c>
      <c r="B11" s="41" t="s">
        <v>28</v>
      </c>
      <c r="C11" s="34" t="str">
        <f t="shared" si="3"/>
        <v>-</v>
      </c>
      <c r="D11" s="34" t="str">
        <f t="shared" si="0"/>
        <v>-</v>
      </c>
      <c r="E11" s="35">
        <f>SUM($E$7*$F$204)</f>
        <v>38.318</v>
      </c>
      <c r="F11" s="35" t="e">
        <f t="shared" si="1"/>
        <v>#VALUE!</v>
      </c>
      <c r="G11" s="36" t="e">
        <f t="shared" si="1"/>
        <v>#VALUE!</v>
      </c>
      <c r="H11" s="37"/>
      <c r="I11" s="35">
        <f>SUM($E$7*$F$204)</f>
        <v>38.318</v>
      </c>
      <c r="J11" s="38" t="e">
        <f t="shared" si="2"/>
        <v>#VALUE!</v>
      </c>
      <c r="K11" s="36" t="e">
        <f>$J$11*$C$203</f>
        <v>#VALUE!</v>
      </c>
      <c r="L11" s="37"/>
      <c r="M11" s="40"/>
    </row>
    <row r="12" spans="1:13" ht="14.25" customHeight="1">
      <c r="A12" s="41" t="s">
        <v>29</v>
      </c>
      <c r="B12" s="41" t="s">
        <v>30</v>
      </c>
      <c r="C12" s="34" t="str">
        <f t="shared" si="3"/>
        <v>-</v>
      </c>
      <c r="D12" s="34" t="str">
        <f t="shared" si="0"/>
        <v>-</v>
      </c>
      <c r="E12" s="35">
        <f>SUM($E$7:$E$11)*$F$205</f>
        <v>79.528704</v>
      </c>
      <c r="F12" s="35" t="e">
        <f t="shared" si="1"/>
        <v>#VALUE!</v>
      </c>
      <c r="G12" s="36" t="e">
        <f t="shared" si="1"/>
        <v>#VALUE!</v>
      </c>
      <c r="H12" s="37"/>
      <c r="I12" s="35">
        <f>SUM($I$7:$I$11)*$F$205</f>
        <v>79.528704</v>
      </c>
      <c r="J12" s="38" t="e">
        <f t="shared" si="2"/>
        <v>#VALUE!</v>
      </c>
      <c r="K12" s="36" t="e">
        <f>$J$12*$C$203</f>
        <v>#VALUE!</v>
      </c>
      <c r="L12" s="37"/>
      <c r="M12" s="40"/>
    </row>
    <row r="13" spans="1:13" ht="14.25" customHeight="1">
      <c r="A13" s="41" t="s">
        <v>31</v>
      </c>
      <c r="B13" s="41" t="s">
        <v>32</v>
      </c>
      <c r="C13" s="34" t="str">
        <f t="shared" si="3"/>
        <v>-</v>
      </c>
      <c r="D13" s="34" t="str">
        <f t="shared" si="0"/>
        <v>-</v>
      </c>
      <c r="E13" s="35">
        <f>$F$201</f>
        <v>150</v>
      </c>
      <c r="F13" s="35" t="e">
        <f t="shared" si="1"/>
        <v>#VALUE!</v>
      </c>
      <c r="G13" s="36" t="e">
        <f t="shared" si="1"/>
        <v>#VALUE!</v>
      </c>
      <c r="H13" s="37"/>
      <c r="I13" s="35">
        <f>$F$201</f>
        <v>150</v>
      </c>
      <c r="J13" s="38" t="e">
        <f t="shared" si="2"/>
        <v>#VALUE!</v>
      </c>
      <c r="K13" s="36" t="e">
        <f>$J$13*$C$203</f>
        <v>#VALUE!</v>
      </c>
      <c r="L13" s="37"/>
      <c r="M13" s="40"/>
    </row>
    <row r="14" spans="1:13" ht="14.25" customHeight="1">
      <c r="A14" s="41" t="s">
        <v>33</v>
      </c>
      <c r="B14" s="41" t="s">
        <v>34</v>
      </c>
      <c r="C14" s="34" t="str">
        <f t="shared" si="3"/>
        <v>-</v>
      </c>
      <c r="D14" s="34" t="str">
        <f t="shared" si="0"/>
        <v>-</v>
      </c>
      <c r="E14" s="35">
        <v>25</v>
      </c>
      <c r="F14" s="35" t="e">
        <f t="shared" si="1"/>
        <v>#VALUE!</v>
      </c>
      <c r="G14" s="36" t="e">
        <f t="shared" si="1"/>
        <v>#VALUE!</v>
      </c>
      <c r="H14" s="37"/>
      <c r="I14" s="35">
        <v>25</v>
      </c>
      <c r="J14" s="38" t="e">
        <f t="shared" si="2"/>
        <v>#VALUE!</v>
      </c>
      <c r="K14" s="36" t="e">
        <f>$J$14*$C$203</f>
        <v>#VALUE!</v>
      </c>
      <c r="L14" s="37"/>
      <c r="M14" s="40"/>
    </row>
    <row r="15" spans="1:13" ht="14.25" customHeight="1">
      <c r="A15" s="41" t="s">
        <v>400</v>
      </c>
      <c r="B15" s="41" t="s">
        <v>401</v>
      </c>
      <c r="C15" s="34" t="str">
        <f>$C$204</f>
        <v>-</v>
      </c>
      <c r="D15" s="34" t="str">
        <f t="shared" si="0"/>
        <v>-</v>
      </c>
      <c r="E15" s="437">
        <f>C216</f>
        <v>0.015</v>
      </c>
      <c r="F15" s="35" t="e">
        <f>C15*E15</f>
        <v>#VALUE!</v>
      </c>
      <c r="G15" s="39" t="e">
        <f>D15*F15</f>
        <v>#VALUE!</v>
      </c>
      <c r="H15" s="37"/>
      <c r="I15" s="35">
        <f>$C$199</f>
        <v>460</v>
      </c>
      <c r="J15" s="438" t="e">
        <f>C15*I15</f>
        <v>#VALUE!</v>
      </c>
      <c r="K15" s="39" t="e">
        <f>J15*$C$203</f>
        <v>#VALUE!</v>
      </c>
      <c r="L15" s="37"/>
      <c r="M15" s="40"/>
    </row>
    <row r="16" spans="1:13" ht="14.25" customHeight="1" thickBot="1">
      <c r="A16" s="41" t="s">
        <v>35</v>
      </c>
      <c r="B16" s="41" t="s">
        <v>36</v>
      </c>
      <c r="C16" s="34" t="str">
        <f t="shared" si="3"/>
        <v>-</v>
      </c>
      <c r="D16" s="34" t="str">
        <f t="shared" si="0"/>
        <v>-</v>
      </c>
      <c r="E16" s="35">
        <f>$C$211</f>
        <v>90</v>
      </c>
      <c r="F16" s="35" t="e">
        <f>C16*E16</f>
        <v>#VALUE!</v>
      </c>
      <c r="G16" s="36" t="e">
        <f>F16</f>
        <v>#VALUE!</v>
      </c>
      <c r="H16" s="37"/>
      <c r="I16" s="35">
        <f>$C$211</f>
        <v>90</v>
      </c>
      <c r="J16" s="38" t="e">
        <f t="shared" si="2"/>
        <v>#VALUE!</v>
      </c>
      <c r="K16" s="36" t="e">
        <f>J16</f>
        <v>#VALUE!</v>
      </c>
      <c r="L16" s="37"/>
      <c r="M16" s="40"/>
    </row>
    <row r="17" spans="1:13" ht="14.25" customHeight="1" thickBot="1">
      <c r="A17" s="43" t="s">
        <v>37</v>
      </c>
      <c r="B17" s="44" t="s">
        <v>38</v>
      </c>
      <c r="C17" s="45"/>
      <c r="D17" s="45"/>
      <c r="E17" s="46"/>
      <c r="F17" s="46" t="e">
        <f>SUM(F7:F16)</f>
        <v>#VALUE!</v>
      </c>
      <c r="G17" s="47" t="e">
        <f>SUM(G7:G16)</f>
        <v>#VALUE!</v>
      </c>
      <c r="H17" s="48">
        <f>SUM(H7:H16)</f>
        <v>0</v>
      </c>
      <c r="I17" s="45"/>
      <c r="J17" s="49" t="e">
        <f>SUM(J7:J16)</f>
        <v>#VALUE!</v>
      </c>
      <c r="K17" s="47" t="e">
        <f>SUM(K7:K16)</f>
        <v>#VALUE!</v>
      </c>
      <c r="L17" s="48">
        <f>SUM(L7:L16)</f>
        <v>0</v>
      </c>
      <c r="M17" s="40"/>
    </row>
    <row r="18" spans="1:13" ht="14.25" customHeight="1">
      <c r="A18" s="41" t="s">
        <v>39</v>
      </c>
      <c r="B18" s="41" t="s">
        <v>40</v>
      </c>
      <c r="C18" s="34" t="str">
        <f aca="true" t="shared" si="4" ref="C18:C23">$C$205</f>
        <v>-</v>
      </c>
      <c r="D18" s="34" t="str">
        <f aca="true" t="shared" si="5" ref="D18:D23">$C$202</f>
        <v>-</v>
      </c>
      <c r="E18" s="35">
        <f>$F$199</f>
        <v>500</v>
      </c>
      <c r="F18" s="35" t="e">
        <f aca="true" t="shared" si="6" ref="F18:G22">C18*E18</f>
        <v>#VALUE!</v>
      </c>
      <c r="G18" s="36" t="e">
        <f t="shared" si="6"/>
        <v>#VALUE!</v>
      </c>
      <c r="H18" s="37"/>
      <c r="I18" s="35">
        <f>$F$199</f>
        <v>500</v>
      </c>
      <c r="J18" s="38" t="e">
        <f aca="true" t="shared" si="7" ref="J18:J23">C18*I18</f>
        <v>#VALUE!</v>
      </c>
      <c r="K18" s="39" t="e">
        <f>J18*$C$203</f>
        <v>#VALUE!</v>
      </c>
      <c r="L18" s="37"/>
      <c r="M18" s="40"/>
    </row>
    <row r="19" spans="1:13" ht="14.25" customHeight="1">
      <c r="A19" s="41" t="s">
        <v>41</v>
      </c>
      <c r="B19" s="41" t="s">
        <v>42</v>
      </c>
      <c r="C19" s="34" t="str">
        <f t="shared" si="4"/>
        <v>-</v>
      </c>
      <c r="D19" s="34" t="str">
        <f t="shared" si="5"/>
        <v>-</v>
      </c>
      <c r="E19" s="35">
        <f>SUM($E$18*$C$213)</f>
        <v>25</v>
      </c>
      <c r="F19" s="35" t="e">
        <f t="shared" si="6"/>
        <v>#VALUE!</v>
      </c>
      <c r="G19" s="36" t="e">
        <f t="shared" si="6"/>
        <v>#VALUE!</v>
      </c>
      <c r="H19" s="37"/>
      <c r="I19" s="35">
        <f>SUM($E$18*$F$213)</f>
        <v>25</v>
      </c>
      <c r="J19" s="38" t="e">
        <f t="shared" si="7"/>
        <v>#VALUE!</v>
      </c>
      <c r="K19" s="39" t="e">
        <f>J19*$C$203</f>
        <v>#VALUE!</v>
      </c>
      <c r="L19" s="37"/>
      <c r="M19" s="40"/>
    </row>
    <row r="20" spans="1:13" ht="14.25" customHeight="1">
      <c r="A20" s="41" t="s">
        <v>43</v>
      </c>
      <c r="B20" s="41" t="s">
        <v>44</v>
      </c>
      <c r="C20" s="34" t="str">
        <f t="shared" si="4"/>
        <v>-</v>
      </c>
      <c r="D20" s="34" t="str">
        <f t="shared" si="5"/>
        <v>-</v>
      </c>
      <c r="E20" s="35">
        <f>SUM($E$18*$F$204)</f>
        <v>41.65</v>
      </c>
      <c r="F20" s="35" t="e">
        <f t="shared" si="6"/>
        <v>#VALUE!</v>
      </c>
      <c r="G20" s="36" t="e">
        <f t="shared" si="6"/>
        <v>#VALUE!</v>
      </c>
      <c r="H20" s="37"/>
      <c r="I20" s="35">
        <f>SUM($E$18*$F$204)</f>
        <v>41.65</v>
      </c>
      <c r="J20" s="38" t="e">
        <f t="shared" si="7"/>
        <v>#VALUE!</v>
      </c>
      <c r="K20" s="39" t="e">
        <f>J20*$C$203</f>
        <v>#VALUE!</v>
      </c>
      <c r="L20" s="37"/>
      <c r="M20" s="40"/>
    </row>
    <row r="21" spans="1:13" ht="14.25" customHeight="1">
      <c r="A21" s="41" t="s">
        <v>45</v>
      </c>
      <c r="B21" s="41" t="s">
        <v>46</v>
      </c>
      <c r="C21" s="34" t="str">
        <f t="shared" si="4"/>
        <v>-</v>
      </c>
      <c r="D21" s="34" t="str">
        <f t="shared" si="5"/>
        <v>-</v>
      </c>
      <c r="E21" s="35">
        <f>SUM($E$18:$E$20)*$F$205</f>
        <v>72.5312</v>
      </c>
      <c r="F21" s="35" t="e">
        <f t="shared" si="6"/>
        <v>#VALUE!</v>
      </c>
      <c r="G21" s="36" t="e">
        <f t="shared" si="6"/>
        <v>#VALUE!</v>
      </c>
      <c r="H21" s="37"/>
      <c r="I21" s="35">
        <f>SUM($E$18:$E$20)*$F$205</f>
        <v>72.5312</v>
      </c>
      <c r="J21" s="38" t="e">
        <f t="shared" si="7"/>
        <v>#VALUE!</v>
      </c>
      <c r="K21" s="39" t="e">
        <f>J21*$C$203</f>
        <v>#VALUE!</v>
      </c>
      <c r="L21" s="37"/>
      <c r="M21" s="40"/>
    </row>
    <row r="22" spans="1:13" ht="14.25" customHeight="1">
      <c r="A22" s="41" t="s">
        <v>47</v>
      </c>
      <c r="B22" s="41" t="s">
        <v>48</v>
      </c>
      <c r="C22" s="34" t="str">
        <f t="shared" si="4"/>
        <v>-</v>
      </c>
      <c r="D22" s="34" t="str">
        <f t="shared" si="5"/>
        <v>-</v>
      </c>
      <c r="E22" s="35">
        <f>$F$200</f>
        <v>150</v>
      </c>
      <c r="F22" s="35" t="e">
        <f t="shared" si="6"/>
        <v>#VALUE!</v>
      </c>
      <c r="G22" s="36" t="e">
        <f t="shared" si="6"/>
        <v>#VALUE!</v>
      </c>
      <c r="H22" s="37"/>
      <c r="I22" s="35">
        <f>$F$200</f>
        <v>150</v>
      </c>
      <c r="J22" s="38" t="e">
        <f t="shared" si="7"/>
        <v>#VALUE!</v>
      </c>
      <c r="K22" s="39" t="e">
        <f>J22*$C$203</f>
        <v>#VALUE!</v>
      </c>
      <c r="L22" s="37"/>
      <c r="M22" s="40"/>
    </row>
    <row r="23" spans="1:13" ht="14.25" customHeight="1">
      <c r="A23" s="41" t="s">
        <v>49</v>
      </c>
      <c r="B23" s="41" t="s">
        <v>50</v>
      </c>
      <c r="C23" s="34" t="str">
        <f t="shared" si="4"/>
        <v>-</v>
      </c>
      <c r="D23" s="34" t="str">
        <f t="shared" si="5"/>
        <v>-</v>
      </c>
      <c r="E23" s="35">
        <f>$C$211</f>
        <v>90</v>
      </c>
      <c r="F23" s="35" t="e">
        <f>C23*E23</f>
        <v>#VALUE!</v>
      </c>
      <c r="G23" s="36" t="e">
        <f>F23</f>
        <v>#VALUE!</v>
      </c>
      <c r="H23" s="37"/>
      <c r="I23" s="35">
        <f>$C$211</f>
        <v>90</v>
      </c>
      <c r="J23" s="38" t="e">
        <f t="shared" si="7"/>
        <v>#VALUE!</v>
      </c>
      <c r="K23" s="36">
        <f>$C$211</f>
        <v>90</v>
      </c>
      <c r="L23" s="37"/>
      <c r="M23" s="40"/>
    </row>
    <row r="24" spans="1:13" ht="14.25" customHeight="1" thickBot="1">
      <c r="A24" s="41" t="s">
        <v>51</v>
      </c>
      <c r="B24" s="41" t="s">
        <v>52</v>
      </c>
      <c r="C24" s="34"/>
      <c r="D24" s="34"/>
      <c r="E24" s="35">
        <v>20</v>
      </c>
      <c r="F24" s="35">
        <f>C24*E24</f>
        <v>0</v>
      </c>
      <c r="G24" s="36">
        <f>F24</f>
        <v>0</v>
      </c>
      <c r="H24" s="37"/>
      <c r="I24" s="35">
        <v>20</v>
      </c>
      <c r="J24" s="38"/>
      <c r="K24" s="36">
        <f>I24</f>
        <v>20</v>
      </c>
      <c r="L24" s="37"/>
      <c r="M24" s="40"/>
    </row>
    <row r="25" spans="1:13" ht="14.25" customHeight="1" thickBot="1">
      <c r="A25" s="43" t="s">
        <v>53</v>
      </c>
      <c r="B25" s="44" t="s">
        <v>54</v>
      </c>
      <c r="C25" s="45"/>
      <c r="D25" s="45"/>
      <c r="E25" s="46"/>
      <c r="F25" s="46" t="e">
        <f>SUM(F18:F23)</f>
        <v>#VALUE!</v>
      </c>
      <c r="G25" s="47" t="e">
        <f>SUM(G18:G23)</f>
        <v>#VALUE!</v>
      </c>
      <c r="H25" s="48">
        <f>SUM(H18:H24)</f>
        <v>0</v>
      </c>
      <c r="I25" s="45"/>
      <c r="J25" s="49" t="e">
        <f>SUM(J18:J23)</f>
        <v>#VALUE!</v>
      </c>
      <c r="K25" s="47" t="e">
        <f>SUM(K18:K23)</f>
        <v>#VALUE!</v>
      </c>
      <c r="L25" s="48">
        <f>SUM(L18:L24)</f>
        <v>0</v>
      </c>
      <c r="M25" s="40"/>
    </row>
    <row r="26" spans="1:13" ht="14.25" customHeight="1">
      <c r="A26" s="41" t="s">
        <v>55</v>
      </c>
      <c r="B26" s="50" t="s">
        <v>56</v>
      </c>
      <c r="C26" s="51"/>
      <c r="D26" s="34" t="str">
        <f aca="true" t="shared" si="8" ref="D26:D31">$C$201</f>
        <v>-</v>
      </c>
      <c r="E26" s="35">
        <v>470</v>
      </c>
      <c r="F26" s="35">
        <f aca="true" t="shared" si="9" ref="F26:G30">C26*E26</f>
        <v>0</v>
      </c>
      <c r="G26" s="36" t="e">
        <f t="shared" si="9"/>
        <v>#VALUE!</v>
      </c>
      <c r="H26" s="37"/>
      <c r="I26" s="35">
        <v>470</v>
      </c>
      <c r="J26" s="38">
        <f>C26*I26</f>
        <v>0</v>
      </c>
      <c r="K26" s="36" t="e">
        <f>$J$26*$C$203</f>
        <v>#VALUE!</v>
      </c>
      <c r="L26" s="37"/>
      <c r="M26" s="40"/>
    </row>
    <row r="27" spans="1:13" ht="14.25" customHeight="1">
      <c r="A27" s="41" t="s">
        <v>55</v>
      </c>
      <c r="B27" s="50" t="s">
        <v>57</v>
      </c>
      <c r="C27" s="51"/>
      <c r="D27" s="34" t="str">
        <f t="shared" si="8"/>
        <v>-</v>
      </c>
      <c r="E27" s="35">
        <v>420</v>
      </c>
      <c r="F27" s="35">
        <f t="shared" si="9"/>
        <v>0</v>
      </c>
      <c r="G27" s="36" t="e">
        <f t="shared" si="9"/>
        <v>#VALUE!</v>
      </c>
      <c r="H27" s="37"/>
      <c r="I27" s="35">
        <v>420</v>
      </c>
      <c r="J27" s="38">
        <f>C27*I27</f>
        <v>0</v>
      </c>
      <c r="K27" s="36" t="e">
        <f>$J$27*$C$203</f>
        <v>#VALUE!</v>
      </c>
      <c r="L27" s="37"/>
      <c r="M27" s="40"/>
    </row>
    <row r="28" spans="1:13" ht="14.25" customHeight="1">
      <c r="A28" s="41" t="s">
        <v>55</v>
      </c>
      <c r="B28" s="50" t="s">
        <v>58</v>
      </c>
      <c r="C28" s="51"/>
      <c r="D28" s="34" t="str">
        <f t="shared" si="8"/>
        <v>-</v>
      </c>
      <c r="E28" s="35">
        <v>360</v>
      </c>
      <c r="F28" s="35">
        <f t="shared" si="9"/>
        <v>0</v>
      </c>
      <c r="G28" s="36" t="e">
        <f t="shared" si="9"/>
        <v>#VALUE!</v>
      </c>
      <c r="H28" s="37"/>
      <c r="I28" s="35">
        <v>360</v>
      </c>
      <c r="J28" s="38">
        <f>C28*I28</f>
        <v>0</v>
      </c>
      <c r="K28" s="36" t="e">
        <f>$J$28*$C$203</f>
        <v>#VALUE!</v>
      </c>
      <c r="L28" s="37"/>
      <c r="M28" s="40"/>
    </row>
    <row r="29" spans="1:13" ht="14.25" customHeight="1">
      <c r="A29" s="41" t="s">
        <v>59</v>
      </c>
      <c r="B29" s="50" t="s">
        <v>60</v>
      </c>
      <c r="C29" s="51">
        <f>SUM($C$26:$C$28)</f>
        <v>0</v>
      </c>
      <c r="D29" s="34" t="str">
        <f t="shared" si="8"/>
        <v>-</v>
      </c>
      <c r="E29" s="35">
        <f>F201</f>
        <v>150</v>
      </c>
      <c r="F29" s="35">
        <f t="shared" si="9"/>
        <v>0</v>
      </c>
      <c r="G29" s="36" t="e">
        <f t="shared" si="9"/>
        <v>#VALUE!</v>
      </c>
      <c r="H29" s="37"/>
      <c r="I29" s="35">
        <f>$F$201</f>
        <v>150</v>
      </c>
      <c r="J29" s="38">
        <f>C29*I29</f>
        <v>0</v>
      </c>
      <c r="K29" s="36" t="e">
        <f>$J$29*$C$203</f>
        <v>#VALUE!</v>
      </c>
      <c r="L29" s="37"/>
      <c r="M29" s="40"/>
    </row>
    <row r="30" spans="1:13" ht="14.25" customHeight="1">
      <c r="A30" s="41" t="s">
        <v>61</v>
      </c>
      <c r="B30" s="50" t="s">
        <v>62</v>
      </c>
      <c r="C30" s="51">
        <v>3</v>
      </c>
      <c r="D30" s="34" t="str">
        <f t="shared" si="8"/>
        <v>-</v>
      </c>
      <c r="E30" s="35">
        <f>SUM($E$26:$E$28)*$F$193</f>
        <v>125</v>
      </c>
      <c r="F30" s="35">
        <f t="shared" si="9"/>
        <v>375</v>
      </c>
      <c r="G30" s="36" t="e">
        <f t="shared" si="9"/>
        <v>#VALUE!</v>
      </c>
      <c r="H30" s="37"/>
      <c r="I30" s="35">
        <f>SUM($E$26:$E$28)*$F$194</f>
        <v>100</v>
      </c>
      <c r="J30" s="38">
        <f>C30*I30</f>
        <v>300</v>
      </c>
      <c r="K30" s="36" t="e">
        <f>$J$30*$C$203</f>
        <v>#VALUE!</v>
      </c>
      <c r="L30" s="37"/>
      <c r="M30" s="40"/>
    </row>
    <row r="31" spans="1:13" ht="14.25" customHeight="1" thickBot="1">
      <c r="A31" s="41" t="s">
        <v>63</v>
      </c>
      <c r="B31" s="52" t="s">
        <v>64</v>
      </c>
      <c r="C31" s="34">
        <v>0</v>
      </c>
      <c r="D31" s="34" t="str">
        <f t="shared" si="8"/>
        <v>-</v>
      </c>
      <c r="E31" s="35">
        <f>SUM($F$26:$F$30)*$F$205</f>
        <v>48</v>
      </c>
      <c r="F31" s="35">
        <f>E31</f>
        <v>48</v>
      </c>
      <c r="G31" s="36" t="e">
        <f>D31*F31</f>
        <v>#VALUE!</v>
      </c>
      <c r="H31" s="37"/>
      <c r="I31" s="35">
        <f>SUM($J$26:$J$30)*$F$205</f>
        <v>38.4</v>
      </c>
      <c r="J31" s="38">
        <f>I31</f>
        <v>38.4</v>
      </c>
      <c r="K31" s="36" t="e">
        <f>I31*D31</f>
        <v>#VALUE!</v>
      </c>
      <c r="L31" s="53"/>
      <c r="M31" s="40"/>
    </row>
    <row r="32" spans="1:13" ht="14.25" customHeight="1" thickBot="1">
      <c r="A32" s="43" t="s">
        <v>65</v>
      </c>
      <c r="B32" s="44" t="s">
        <v>66</v>
      </c>
      <c r="C32" s="45"/>
      <c r="D32" s="45"/>
      <c r="E32" s="46"/>
      <c r="F32" s="46">
        <f aca="true" t="shared" si="10" ref="F32:L32">SUM(F26:F31)</f>
        <v>423</v>
      </c>
      <c r="G32" s="47" t="e">
        <f t="shared" si="10"/>
        <v>#VALUE!</v>
      </c>
      <c r="H32" s="48">
        <f t="shared" si="10"/>
        <v>0</v>
      </c>
      <c r="I32" s="45">
        <f t="shared" si="10"/>
        <v>1538.4</v>
      </c>
      <c r="J32" s="45">
        <f t="shared" si="10"/>
        <v>338.4</v>
      </c>
      <c r="K32" s="47" t="e">
        <f t="shared" si="10"/>
        <v>#VALUE!</v>
      </c>
      <c r="L32" s="48">
        <f t="shared" si="10"/>
        <v>0</v>
      </c>
      <c r="M32" s="40"/>
    </row>
    <row r="33" spans="1:13" ht="14.25" customHeight="1">
      <c r="A33" s="41" t="s">
        <v>279</v>
      </c>
      <c r="B33" s="50" t="s">
        <v>67</v>
      </c>
      <c r="C33" s="54"/>
      <c r="D33" s="55"/>
      <c r="E33" s="56"/>
      <c r="F33" s="56">
        <f aca="true" t="shared" si="11" ref="F33:G37">C33*E33</f>
        <v>0</v>
      </c>
      <c r="G33" s="57">
        <f t="shared" si="11"/>
        <v>0</v>
      </c>
      <c r="H33" s="58"/>
      <c r="I33" s="55">
        <v>0</v>
      </c>
      <c r="J33" s="59">
        <f>C33*I33</f>
        <v>0</v>
      </c>
      <c r="K33" s="36" t="e">
        <f>$J$33*$C$203</f>
        <v>#VALUE!</v>
      </c>
      <c r="L33" s="58"/>
      <c r="M33" s="40"/>
    </row>
    <row r="34" spans="1:13" ht="14.25" customHeight="1">
      <c r="A34" s="41" t="s">
        <v>279</v>
      </c>
      <c r="B34" s="50" t="s">
        <v>68</v>
      </c>
      <c r="C34" s="51"/>
      <c r="D34" s="34"/>
      <c r="E34" s="35"/>
      <c r="F34" s="35">
        <f t="shared" si="11"/>
        <v>0</v>
      </c>
      <c r="G34" s="36">
        <f t="shared" si="11"/>
        <v>0</v>
      </c>
      <c r="H34" s="37"/>
      <c r="I34" s="34">
        <f>E34</f>
        <v>0</v>
      </c>
      <c r="J34" s="38">
        <f>C34*I34</f>
        <v>0</v>
      </c>
      <c r="K34" s="36" t="e">
        <f>$J$34*$C$203</f>
        <v>#VALUE!</v>
      </c>
      <c r="L34" s="37"/>
      <c r="M34" s="40"/>
    </row>
    <row r="35" spans="1:13" ht="14.25" customHeight="1">
      <c r="A35" s="41" t="s">
        <v>280</v>
      </c>
      <c r="B35" s="50" t="s">
        <v>69</v>
      </c>
      <c r="C35" s="51"/>
      <c r="D35" s="34"/>
      <c r="E35" s="35"/>
      <c r="F35" s="35">
        <f t="shared" si="11"/>
        <v>0</v>
      </c>
      <c r="G35" s="36">
        <f t="shared" si="11"/>
        <v>0</v>
      </c>
      <c r="H35" s="37"/>
      <c r="I35" s="34">
        <f>E35</f>
        <v>0</v>
      </c>
      <c r="J35" s="38">
        <f>C35*I35</f>
        <v>0</v>
      </c>
      <c r="K35" s="36" t="e">
        <f>$J$35*$C$203</f>
        <v>#VALUE!</v>
      </c>
      <c r="L35" s="37"/>
      <c r="M35" s="40"/>
    </row>
    <row r="36" spans="1:13" ht="14.25" customHeight="1">
      <c r="A36" s="41" t="s">
        <v>280</v>
      </c>
      <c r="B36" s="50" t="s">
        <v>70</v>
      </c>
      <c r="C36" s="51"/>
      <c r="D36" s="34"/>
      <c r="E36" s="35"/>
      <c r="F36" s="35">
        <f t="shared" si="11"/>
        <v>0</v>
      </c>
      <c r="G36" s="36">
        <f t="shared" si="11"/>
        <v>0</v>
      </c>
      <c r="H36" s="37"/>
      <c r="I36" s="34">
        <f>E36</f>
        <v>0</v>
      </c>
      <c r="J36" s="38">
        <f>C36*I36</f>
        <v>0</v>
      </c>
      <c r="K36" s="36" t="e">
        <f>$J$36*$C$203</f>
        <v>#VALUE!</v>
      </c>
      <c r="L36" s="37"/>
      <c r="M36" s="40"/>
    </row>
    <row r="37" spans="1:13" ht="14.25" customHeight="1">
      <c r="A37" s="41" t="s">
        <v>281</v>
      </c>
      <c r="B37" s="60" t="s">
        <v>71</v>
      </c>
      <c r="C37" s="61"/>
      <c r="D37" s="62"/>
      <c r="E37" s="63"/>
      <c r="F37" s="63">
        <f t="shared" si="11"/>
        <v>0</v>
      </c>
      <c r="G37" s="64">
        <f t="shared" si="11"/>
        <v>0</v>
      </c>
      <c r="H37" s="65"/>
      <c r="I37" s="62">
        <f>E37</f>
        <v>0</v>
      </c>
      <c r="J37" s="66">
        <f>C37*I37</f>
        <v>0</v>
      </c>
      <c r="K37" s="64" t="e">
        <f>$J$37*$C$203</f>
        <v>#VALUE!</v>
      </c>
      <c r="L37" s="65"/>
      <c r="M37" s="40"/>
    </row>
    <row r="38" spans="1:13" ht="14.25" customHeight="1">
      <c r="A38" s="41"/>
      <c r="B38" s="67"/>
      <c r="C38" s="68"/>
      <c r="D38" s="69"/>
      <c r="E38" s="70"/>
      <c r="F38" s="70">
        <f aca="true" t="shared" si="12" ref="F38:K38">SUM(F33:F37)</f>
        <v>0</v>
      </c>
      <c r="G38" s="71">
        <f t="shared" si="12"/>
        <v>0</v>
      </c>
      <c r="H38" s="72">
        <f t="shared" si="12"/>
        <v>0</v>
      </c>
      <c r="I38" s="69">
        <f t="shared" si="12"/>
        <v>0</v>
      </c>
      <c r="J38" s="73">
        <f t="shared" si="12"/>
        <v>0</v>
      </c>
      <c r="K38" s="71" t="e">
        <f t="shared" si="12"/>
        <v>#VALUE!</v>
      </c>
      <c r="L38" s="72">
        <f>SUM(L26:L31)</f>
        <v>0</v>
      </c>
      <c r="M38" s="40"/>
    </row>
    <row r="39" spans="1:13" ht="14.25" customHeight="1">
      <c r="A39" s="41" t="s">
        <v>282</v>
      </c>
      <c r="B39" s="50" t="s">
        <v>72</v>
      </c>
      <c r="C39" s="35">
        <f>C196</f>
        <v>0</v>
      </c>
      <c r="D39" s="34">
        <f>$F$202</f>
        <v>1</v>
      </c>
      <c r="E39" s="35">
        <f>$F$196</f>
        <v>375</v>
      </c>
      <c r="F39" s="35">
        <f aca="true" t="shared" si="13" ref="F39:G41">C39*E39</f>
        <v>0</v>
      </c>
      <c r="G39" s="36">
        <f t="shared" si="13"/>
        <v>0</v>
      </c>
      <c r="H39" s="37"/>
      <c r="I39" s="34">
        <f>E39</f>
        <v>375</v>
      </c>
      <c r="J39" s="38">
        <f>C39*I39</f>
        <v>0</v>
      </c>
      <c r="K39" s="36" t="e">
        <f>$J$39*$C$203</f>
        <v>#VALUE!</v>
      </c>
      <c r="L39" s="37"/>
      <c r="M39" s="40"/>
    </row>
    <row r="40" spans="1:13" ht="14.25" customHeight="1">
      <c r="A40" s="41" t="s">
        <v>283</v>
      </c>
      <c r="B40" s="50" t="s">
        <v>73</v>
      </c>
      <c r="C40" s="74">
        <f>C197</f>
        <v>0</v>
      </c>
      <c r="D40" s="34">
        <f>$F$202</f>
        <v>1</v>
      </c>
      <c r="E40" s="35">
        <f>$F$197</f>
        <v>375</v>
      </c>
      <c r="F40" s="35">
        <f t="shared" si="13"/>
        <v>0</v>
      </c>
      <c r="G40" s="36">
        <f t="shared" si="13"/>
        <v>0</v>
      </c>
      <c r="H40" s="37"/>
      <c r="I40" s="34">
        <f>E40</f>
        <v>375</v>
      </c>
      <c r="J40" s="38">
        <f>C40*I40</f>
        <v>0</v>
      </c>
      <c r="K40" s="36" t="e">
        <f>$J$40*$C$203</f>
        <v>#VALUE!</v>
      </c>
      <c r="L40" s="37"/>
      <c r="M40" s="40"/>
    </row>
    <row r="41" spans="1:13" ht="14.25" customHeight="1">
      <c r="A41" s="41" t="s">
        <v>284</v>
      </c>
      <c r="B41" s="50" t="s">
        <v>74</v>
      </c>
      <c r="C41" s="35">
        <f>SUM(C39:C40)</f>
        <v>0</v>
      </c>
      <c r="D41" s="34">
        <f>$F$202</f>
        <v>1</v>
      </c>
      <c r="E41" s="35">
        <f>SUM($E$39:$E$40)*$C$194</f>
        <v>112.5</v>
      </c>
      <c r="F41" s="35">
        <f t="shared" si="13"/>
        <v>0</v>
      </c>
      <c r="G41" s="36">
        <f t="shared" si="13"/>
        <v>0</v>
      </c>
      <c r="H41" s="37"/>
      <c r="I41" s="35">
        <f>SUM($I$39:$I$40)*$F$195</f>
        <v>37.5</v>
      </c>
      <c r="J41" s="35">
        <f>SUM($J$39:$J$40)*$F$195</f>
        <v>0</v>
      </c>
      <c r="K41" s="36" t="e">
        <f>$J$41*$C$203</f>
        <v>#VALUE!</v>
      </c>
      <c r="L41" s="37"/>
      <c r="M41" s="40"/>
    </row>
    <row r="42" spans="1:13" ht="14.25" customHeight="1" thickBot="1">
      <c r="A42" s="41" t="s">
        <v>284</v>
      </c>
      <c r="B42" s="50" t="s">
        <v>75</v>
      </c>
      <c r="C42" s="35">
        <f>SUM(C39:C40)</f>
        <v>0</v>
      </c>
      <c r="D42" s="34">
        <f>$F$202</f>
        <v>1</v>
      </c>
      <c r="E42" s="35">
        <f>SUM($F$39:$F$41)*$F$205</f>
        <v>0</v>
      </c>
      <c r="F42" s="35">
        <f>E42</f>
        <v>0</v>
      </c>
      <c r="G42" s="36">
        <f>D42*F42</f>
        <v>0</v>
      </c>
      <c r="H42" s="37"/>
      <c r="I42" s="34">
        <f>E42</f>
        <v>0</v>
      </c>
      <c r="J42" s="38">
        <f>I42</f>
        <v>0</v>
      </c>
      <c r="K42" s="36" t="e">
        <f>$J$42*$C$203</f>
        <v>#VALUE!</v>
      </c>
      <c r="L42" s="37"/>
      <c r="M42" s="40"/>
    </row>
    <row r="43" spans="1:13" ht="14.25" customHeight="1" thickBot="1">
      <c r="A43" s="75"/>
      <c r="B43" s="44" t="s">
        <v>76</v>
      </c>
      <c r="C43" s="45"/>
      <c r="D43" s="45"/>
      <c r="E43" s="46"/>
      <c r="F43" s="46">
        <f aca="true" t="shared" si="14" ref="F43:L43">SUM(F39:F42)</f>
        <v>0</v>
      </c>
      <c r="G43" s="47">
        <f t="shared" si="14"/>
        <v>0</v>
      </c>
      <c r="H43" s="48">
        <f t="shared" si="14"/>
        <v>0</v>
      </c>
      <c r="I43" s="46">
        <f t="shared" si="14"/>
        <v>787.5</v>
      </c>
      <c r="J43" s="76">
        <f t="shared" si="14"/>
        <v>0</v>
      </c>
      <c r="K43" s="47" t="e">
        <f t="shared" si="14"/>
        <v>#VALUE!</v>
      </c>
      <c r="L43" s="48">
        <f t="shared" si="14"/>
        <v>0</v>
      </c>
      <c r="M43" s="40"/>
    </row>
    <row r="44" spans="1:13" s="18" customFormat="1" ht="14.25" customHeight="1" thickBot="1">
      <c r="A44" s="77"/>
      <c r="B44" s="78"/>
      <c r="C44" s="79"/>
      <c r="D44" s="79"/>
      <c r="E44" s="40"/>
      <c r="F44" s="40"/>
      <c r="G44" s="80"/>
      <c r="H44" s="80"/>
      <c r="I44" s="40"/>
      <c r="J44" s="40"/>
      <c r="K44" s="80"/>
      <c r="L44" s="80"/>
      <c r="M44" s="40"/>
    </row>
    <row r="45" spans="1:13" ht="14.25" customHeight="1" thickBot="1">
      <c r="A45" s="75"/>
      <c r="B45" s="44" t="s">
        <v>77</v>
      </c>
      <c r="C45" s="45"/>
      <c r="D45" s="45"/>
      <c r="E45" s="46"/>
      <c r="F45" s="46" t="e">
        <f aca="true" t="shared" si="15" ref="F45:L45">F17+F25+F32+F38+F43</f>
        <v>#VALUE!</v>
      </c>
      <c r="G45" s="47" t="e">
        <f t="shared" si="15"/>
        <v>#VALUE!</v>
      </c>
      <c r="H45" s="48">
        <f t="shared" si="15"/>
        <v>0</v>
      </c>
      <c r="I45" s="46">
        <f t="shared" si="15"/>
        <v>2325.9</v>
      </c>
      <c r="J45" s="76" t="e">
        <f t="shared" si="15"/>
        <v>#VALUE!</v>
      </c>
      <c r="K45" s="81" t="e">
        <f t="shared" si="15"/>
        <v>#VALUE!</v>
      </c>
      <c r="L45" s="82">
        <f t="shared" si="15"/>
        <v>0</v>
      </c>
      <c r="M45" s="40"/>
    </row>
    <row r="46" spans="1:13" ht="14.25" customHeight="1" thickBot="1">
      <c r="A46" s="77"/>
      <c r="B46" s="78"/>
      <c r="C46" s="79"/>
      <c r="D46" s="79"/>
      <c r="E46" s="40"/>
      <c r="F46" s="80"/>
      <c r="G46" s="80"/>
      <c r="H46" s="80"/>
      <c r="I46" s="80"/>
      <c r="J46" s="80"/>
      <c r="K46" s="80"/>
      <c r="L46" s="80"/>
      <c r="M46" s="40"/>
    </row>
    <row r="47" spans="1:13" ht="14.25" customHeight="1" thickBot="1">
      <c r="A47" s="83" t="s">
        <v>78</v>
      </c>
      <c r="B47" s="84" t="s">
        <v>79</v>
      </c>
      <c r="C47" s="85"/>
      <c r="D47" s="85"/>
      <c r="E47" s="86" t="s">
        <v>80</v>
      </c>
      <c r="F47" s="87"/>
      <c r="G47" s="88" t="s">
        <v>81</v>
      </c>
      <c r="H47" s="88"/>
      <c r="I47" s="89"/>
      <c r="J47" s="90"/>
      <c r="K47" s="91"/>
      <c r="L47" s="91"/>
      <c r="M47" s="92"/>
    </row>
    <row r="48" spans="1:14" ht="14.25" customHeight="1" thickBot="1">
      <c r="A48" s="93"/>
      <c r="B48" s="94"/>
      <c r="C48" s="95" t="s">
        <v>82</v>
      </c>
      <c r="D48" s="96" t="s">
        <v>83</v>
      </c>
      <c r="E48" s="95" t="s">
        <v>84</v>
      </c>
      <c r="F48" s="96" t="s">
        <v>83</v>
      </c>
      <c r="G48" s="95" t="s">
        <v>85</v>
      </c>
      <c r="H48" s="96" t="s">
        <v>83</v>
      </c>
      <c r="I48" s="97" t="s">
        <v>16</v>
      </c>
      <c r="J48" s="98" t="s">
        <v>83</v>
      </c>
      <c r="K48" s="99" t="s">
        <v>9</v>
      </c>
      <c r="L48" s="417" t="s">
        <v>86</v>
      </c>
      <c r="M48" s="100"/>
      <c r="N48" s="92"/>
    </row>
    <row r="49" spans="1:14" ht="14.25" customHeight="1">
      <c r="A49" s="101" t="s">
        <v>87</v>
      </c>
      <c r="B49" s="102" t="s">
        <v>88</v>
      </c>
      <c r="C49" s="103">
        <v>2250</v>
      </c>
      <c r="D49" s="104"/>
      <c r="E49" s="105"/>
      <c r="F49" s="104"/>
      <c r="G49" s="105"/>
      <c r="H49" s="104"/>
      <c r="I49" s="106">
        <f aca="true" t="shared" si="16" ref="I49:J64">SUM(C49+E49+G49)</f>
        <v>2250</v>
      </c>
      <c r="J49" s="107">
        <f t="shared" si="16"/>
        <v>0</v>
      </c>
      <c r="K49" s="108"/>
      <c r="L49" s="109"/>
      <c r="M49" s="109"/>
      <c r="N49" s="110"/>
    </row>
    <row r="50" spans="1:14" ht="14.25" customHeight="1">
      <c r="A50" s="93" t="s">
        <v>89</v>
      </c>
      <c r="B50" s="93" t="s">
        <v>90</v>
      </c>
      <c r="C50" s="111">
        <v>0</v>
      </c>
      <c r="D50" s="112"/>
      <c r="E50" s="113"/>
      <c r="F50" s="112"/>
      <c r="G50" s="113"/>
      <c r="H50" s="112"/>
      <c r="I50" s="106">
        <f t="shared" si="16"/>
        <v>0</v>
      </c>
      <c r="J50" s="107">
        <f t="shared" si="16"/>
        <v>0</v>
      </c>
      <c r="K50" s="108"/>
      <c r="L50" s="114"/>
      <c r="M50" s="114"/>
      <c r="N50" s="115"/>
    </row>
    <row r="51" spans="1:14" ht="14.25" customHeight="1">
      <c r="A51" s="93" t="s">
        <v>91</v>
      </c>
      <c r="B51" s="93" t="s">
        <v>92</v>
      </c>
      <c r="C51" s="111">
        <v>4275</v>
      </c>
      <c r="D51" s="116"/>
      <c r="E51" s="111">
        <v>600</v>
      </c>
      <c r="F51" s="116"/>
      <c r="G51" s="111">
        <v>1000</v>
      </c>
      <c r="H51" s="116"/>
      <c r="I51" s="106">
        <f t="shared" si="16"/>
        <v>5875</v>
      </c>
      <c r="J51" s="107">
        <f t="shared" si="16"/>
        <v>0</v>
      </c>
      <c r="K51" s="108"/>
      <c r="L51" s="114"/>
      <c r="M51" s="114"/>
      <c r="N51" s="115"/>
    </row>
    <row r="52" spans="1:14" ht="14.25" customHeight="1">
      <c r="A52" s="93" t="s">
        <v>93</v>
      </c>
      <c r="B52" s="93" t="s">
        <v>94</v>
      </c>
      <c r="C52" s="111">
        <f>350*6</f>
        <v>2100</v>
      </c>
      <c r="D52" s="117"/>
      <c r="E52" s="111"/>
      <c r="F52" s="116"/>
      <c r="G52" s="111"/>
      <c r="H52" s="116"/>
      <c r="I52" s="106">
        <f t="shared" si="16"/>
        <v>2100</v>
      </c>
      <c r="J52" s="107">
        <f t="shared" si="16"/>
        <v>0</v>
      </c>
      <c r="K52" s="108"/>
      <c r="L52" s="118"/>
      <c r="M52" s="118"/>
      <c r="N52" s="119"/>
    </row>
    <row r="53" spans="1:14" ht="14.25" customHeight="1">
      <c r="A53" s="93" t="s">
        <v>95</v>
      </c>
      <c r="B53" s="93" t="s">
        <v>96</v>
      </c>
      <c r="C53" s="111">
        <v>4275</v>
      </c>
      <c r="D53" s="116"/>
      <c r="E53" s="111">
        <v>600</v>
      </c>
      <c r="F53" s="116"/>
      <c r="G53" s="111">
        <v>1500</v>
      </c>
      <c r="H53" s="116"/>
      <c r="I53" s="106">
        <f t="shared" si="16"/>
        <v>6375</v>
      </c>
      <c r="J53" s="107">
        <f t="shared" si="16"/>
        <v>0</v>
      </c>
      <c r="K53" s="108"/>
      <c r="L53" s="118"/>
      <c r="M53" s="118"/>
      <c r="N53" s="119"/>
    </row>
    <row r="54" spans="1:14" ht="14.25" customHeight="1">
      <c r="A54" s="93" t="s">
        <v>97</v>
      </c>
      <c r="B54" s="93" t="s">
        <v>98</v>
      </c>
      <c r="C54" s="111">
        <v>0</v>
      </c>
      <c r="D54" s="117"/>
      <c r="E54" s="111"/>
      <c r="F54" s="116"/>
      <c r="G54" s="111"/>
      <c r="H54" s="116"/>
      <c r="I54" s="106">
        <f t="shared" si="16"/>
        <v>0</v>
      </c>
      <c r="J54" s="107">
        <f t="shared" si="16"/>
        <v>0</v>
      </c>
      <c r="K54" s="108"/>
      <c r="L54" s="118"/>
      <c r="M54" s="118"/>
      <c r="N54" s="119"/>
    </row>
    <row r="55" spans="1:14" ht="14.25" customHeight="1">
      <c r="A55" s="93" t="s">
        <v>99</v>
      </c>
      <c r="B55" s="93" t="s">
        <v>100</v>
      </c>
      <c r="C55" s="111">
        <v>2200</v>
      </c>
      <c r="D55" s="116"/>
      <c r="E55" s="111">
        <v>500</v>
      </c>
      <c r="F55" s="117"/>
      <c r="G55" s="111">
        <v>600</v>
      </c>
      <c r="H55" s="116"/>
      <c r="I55" s="106">
        <f t="shared" si="16"/>
        <v>3300</v>
      </c>
      <c r="J55" s="107">
        <f t="shared" si="16"/>
        <v>0</v>
      </c>
      <c r="K55" s="108"/>
      <c r="L55" s="118"/>
      <c r="M55" s="118"/>
      <c r="N55" s="119"/>
    </row>
    <row r="56" spans="1:14" ht="14.25" customHeight="1">
      <c r="A56" s="93" t="s">
        <v>101</v>
      </c>
      <c r="B56" s="93" t="s">
        <v>102</v>
      </c>
      <c r="C56" s="111">
        <v>0</v>
      </c>
      <c r="D56" s="116"/>
      <c r="E56" s="111"/>
      <c r="F56" s="116"/>
      <c r="G56" s="111"/>
      <c r="H56" s="116"/>
      <c r="I56" s="106">
        <f t="shared" si="16"/>
        <v>0</v>
      </c>
      <c r="J56" s="107">
        <f t="shared" si="16"/>
        <v>0</v>
      </c>
      <c r="K56" s="108"/>
      <c r="L56" s="118"/>
      <c r="M56" s="118"/>
      <c r="N56" s="119"/>
    </row>
    <row r="57" spans="1:14" ht="14.25" customHeight="1">
      <c r="A57" s="93" t="s">
        <v>103</v>
      </c>
      <c r="B57" s="93" t="s">
        <v>104</v>
      </c>
      <c r="C57" s="111">
        <v>3500</v>
      </c>
      <c r="D57" s="116"/>
      <c r="E57" s="111">
        <v>500</v>
      </c>
      <c r="F57" s="116"/>
      <c r="G57" s="111">
        <v>1000</v>
      </c>
      <c r="H57" s="116"/>
      <c r="I57" s="106">
        <f t="shared" si="16"/>
        <v>5000</v>
      </c>
      <c r="J57" s="107">
        <f t="shared" si="16"/>
        <v>0</v>
      </c>
      <c r="K57" s="108"/>
      <c r="L57" s="118"/>
      <c r="M57" s="118"/>
      <c r="N57" s="119"/>
    </row>
    <row r="58" spans="1:14" ht="14.25" customHeight="1">
      <c r="A58" s="93" t="s">
        <v>105</v>
      </c>
      <c r="B58" s="93" t="s">
        <v>106</v>
      </c>
      <c r="C58" s="111">
        <v>0</v>
      </c>
      <c r="D58" s="116"/>
      <c r="E58" s="111"/>
      <c r="F58" s="117"/>
      <c r="G58" s="111"/>
      <c r="H58" s="116"/>
      <c r="I58" s="106">
        <f t="shared" si="16"/>
        <v>0</v>
      </c>
      <c r="J58" s="107">
        <f t="shared" si="16"/>
        <v>0</v>
      </c>
      <c r="K58" s="108"/>
      <c r="L58" s="118"/>
      <c r="M58" s="118"/>
      <c r="N58" s="119"/>
    </row>
    <row r="59" spans="1:14" ht="14.25" customHeight="1">
      <c r="A59" s="93" t="s">
        <v>107</v>
      </c>
      <c r="B59" s="93" t="s">
        <v>108</v>
      </c>
      <c r="C59" s="111">
        <v>0</v>
      </c>
      <c r="D59" s="117"/>
      <c r="E59" s="111"/>
      <c r="F59" s="116"/>
      <c r="G59" s="111"/>
      <c r="H59" s="116"/>
      <c r="I59" s="106">
        <f t="shared" si="16"/>
        <v>0</v>
      </c>
      <c r="J59" s="107">
        <f t="shared" si="16"/>
        <v>0</v>
      </c>
      <c r="K59" s="108"/>
      <c r="L59" s="118"/>
      <c r="M59" s="118"/>
      <c r="N59" s="119"/>
    </row>
    <row r="60" spans="1:14" ht="14.25" customHeight="1">
      <c r="A60" s="93" t="s">
        <v>109</v>
      </c>
      <c r="B60" s="93" t="s">
        <v>110</v>
      </c>
      <c r="C60" s="111">
        <v>0</v>
      </c>
      <c r="D60" s="116"/>
      <c r="E60" s="111"/>
      <c r="F60" s="116"/>
      <c r="G60" s="111"/>
      <c r="H60" s="116"/>
      <c r="I60" s="106">
        <f t="shared" si="16"/>
        <v>0</v>
      </c>
      <c r="J60" s="107">
        <f t="shared" si="16"/>
        <v>0</v>
      </c>
      <c r="K60" s="108"/>
      <c r="L60" s="118"/>
      <c r="M60" s="118"/>
      <c r="N60" s="119"/>
    </row>
    <row r="61" spans="1:14" ht="14.25" customHeight="1">
      <c r="A61" s="93" t="s">
        <v>111</v>
      </c>
      <c r="B61" s="93" t="s">
        <v>112</v>
      </c>
      <c r="C61" s="111">
        <v>3200</v>
      </c>
      <c r="D61" s="116"/>
      <c r="E61" s="111">
        <v>500</v>
      </c>
      <c r="F61" s="116"/>
      <c r="G61" s="111">
        <v>600</v>
      </c>
      <c r="H61" s="116"/>
      <c r="I61" s="106">
        <f t="shared" si="16"/>
        <v>4300</v>
      </c>
      <c r="J61" s="107">
        <f t="shared" si="16"/>
        <v>0</v>
      </c>
      <c r="K61" s="108"/>
      <c r="L61" s="118"/>
      <c r="M61" s="118"/>
      <c r="N61" s="119"/>
    </row>
    <row r="62" spans="1:14" ht="14.25" customHeight="1">
      <c r="A62" s="93" t="s">
        <v>147</v>
      </c>
      <c r="B62" s="93" t="s">
        <v>113</v>
      </c>
      <c r="C62" s="111">
        <v>0</v>
      </c>
      <c r="D62" s="117"/>
      <c r="E62" s="111"/>
      <c r="F62" s="116"/>
      <c r="G62" s="111"/>
      <c r="H62" s="116"/>
      <c r="I62" s="106">
        <f t="shared" si="16"/>
        <v>0</v>
      </c>
      <c r="J62" s="107">
        <f t="shared" si="16"/>
        <v>0</v>
      </c>
      <c r="K62" s="108"/>
      <c r="L62" s="118"/>
      <c r="M62" s="118"/>
      <c r="N62" s="119"/>
    </row>
    <row r="63" spans="1:14" ht="14.25" customHeight="1">
      <c r="A63" s="93" t="s">
        <v>114</v>
      </c>
      <c r="B63" s="93" t="s">
        <v>115</v>
      </c>
      <c r="C63" s="111">
        <v>1500</v>
      </c>
      <c r="D63" s="117"/>
      <c r="E63" s="111">
        <v>250</v>
      </c>
      <c r="F63" s="116"/>
      <c r="G63" s="111">
        <v>250</v>
      </c>
      <c r="H63" s="116"/>
      <c r="I63" s="106">
        <f t="shared" si="16"/>
        <v>2000</v>
      </c>
      <c r="J63" s="107">
        <f t="shared" si="16"/>
        <v>0</v>
      </c>
      <c r="K63" s="108"/>
      <c r="L63" s="118"/>
      <c r="M63" s="118"/>
      <c r="N63" s="119"/>
    </row>
    <row r="64" spans="1:14" ht="14.25" customHeight="1" thickBot="1">
      <c r="A64" s="93"/>
      <c r="B64" s="13" t="s">
        <v>116</v>
      </c>
      <c r="C64" s="16"/>
      <c r="D64" s="120"/>
      <c r="E64" s="16"/>
      <c r="F64" s="120"/>
      <c r="G64" s="16"/>
      <c r="H64" s="120"/>
      <c r="I64" s="106">
        <f t="shared" si="16"/>
        <v>0</v>
      </c>
      <c r="J64" s="107">
        <f t="shared" si="16"/>
        <v>0</v>
      </c>
      <c r="K64" s="108"/>
      <c r="L64" s="121"/>
      <c r="M64" s="121"/>
      <c r="N64" s="122"/>
    </row>
    <row r="65" spans="1:17" ht="14.25" customHeight="1" thickBot="1">
      <c r="A65" s="123"/>
      <c r="B65" s="124"/>
      <c r="C65" s="124">
        <f>SUM(C50:C64)</f>
        <v>21050</v>
      </c>
      <c r="D65" s="125"/>
      <c r="E65" s="124">
        <f>SUM(E50:E64)</f>
        <v>2950</v>
      </c>
      <c r="F65" s="125"/>
      <c r="G65" s="124">
        <f>SUM(G50:G64)</f>
        <v>4950</v>
      </c>
      <c r="H65" s="125"/>
      <c r="I65" s="126">
        <f>SUM(I48:I64)</f>
        <v>31200</v>
      </c>
      <c r="J65" s="127">
        <f>SUM(J48:J64)</f>
        <v>0</v>
      </c>
      <c r="K65" s="128">
        <f>SUM(K49:K64)</f>
        <v>0</v>
      </c>
      <c r="L65" s="129"/>
      <c r="M65" s="129"/>
      <c r="N65" s="130"/>
      <c r="O65" s="131"/>
      <c r="P65" s="131"/>
      <c r="Q65" s="132"/>
    </row>
    <row r="67" spans="10:13" ht="14.25" customHeight="1" thickBot="1">
      <c r="J67" s="18"/>
      <c r="K67" s="18"/>
      <c r="L67" s="18"/>
      <c r="M67" s="18"/>
    </row>
    <row r="68" spans="1:13" ht="14.25" customHeight="1" thickBot="1">
      <c r="A68" s="133" t="s">
        <v>78</v>
      </c>
      <c r="B68" s="134" t="s">
        <v>117</v>
      </c>
      <c r="C68" s="21" t="s">
        <v>8</v>
      </c>
      <c r="D68" s="22"/>
      <c r="E68" s="135" t="s">
        <v>9</v>
      </c>
      <c r="F68" s="417" t="s">
        <v>86</v>
      </c>
      <c r="G68" s="100"/>
      <c r="H68" s="100"/>
      <c r="I68" s="92"/>
      <c r="J68" s="136"/>
      <c r="K68" s="136"/>
      <c r="L68" s="136"/>
      <c r="M68" s="136"/>
    </row>
    <row r="69" spans="1:13" ht="14.25" customHeight="1">
      <c r="A69" s="137"/>
      <c r="B69" s="33" t="s">
        <v>118</v>
      </c>
      <c r="C69" s="138" t="e">
        <f>G17</f>
        <v>#VALUE!</v>
      </c>
      <c r="D69" s="139"/>
      <c r="E69" s="140"/>
      <c r="F69" s="141"/>
      <c r="G69" s="141"/>
      <c r="H69" s="141"/>
      <c r="I69" s="142"/>
      <c r="J69" s="143"/>
      <c r="K69" s="143"/>
      <c r="L69" s="143"/>
      <c r="M69" s="144"/>
    </row>
    <row r="70" spans="1:13" ht="14.25" customHeight="1">
      <c r="A70" s="137"/>
      <c r="B70" s="33" t="s">
        <v>119</v>
      </c>
      <c r="C70" s="145" t="e">
        <f>G25</f>
        <v>#VALUE!</v>
      </c>
      <c r="D70" s="146"/>
      <c r="E70" s="140"/>
      <c r="F70" s="121"/>
      <c r="G70" s="121"/>
      <c r="H70" s="121"/>
      <c r="I70" s="122"/>
      <c r="J70" s="143"/>
      <c r="K70" s="143"/>
      <c r="L70" s="143"/>
      <c r="M70" s="144"/>
    </row>
    <row r="71" spans="1:13" ht="14.25" customHeight="1">
      <c r="A71" s="137"/>
      <c r="B71" s="33" t="s">
        <v>120</v>
      </c>
      <c r="C71" s="145" t="e">
        <f>G32</f>
        <v>#VALUE!</v>
      </c>
      <c r="D71" s="146"/>
      <c r="E71" s="140"/>
      <c r="F71" s="121"/>
      <c r="G71" s="121"/>
      <c r="H71" s="121"/>
      <c r="I71" s="122"/>
      <c r="J71" s="143"/>
      <c r="K71" s="143"/>
      <c r="L71" s="143"/>
      <c r="M71" s="144"/>
    </row>
    <row r="72" spans="1:13" ht="14.25" customHeight="1">
      <c r="A72" s="137"/>
      <c r="B72" s="33" t="s">
        <v>121</v>
      </c>
      <c r="C72" s="145">
        <f>G38</f>
        <v>0</v>
      </c>
      <c r="D72" s="146"/>
      <c r="E72" s="140"/>
      <c r="F72" s="121"/>
      <c r="G72" s="121"/>
      <c r="H72" s="121"/>
      <c r="I72" s="122"/>
      <c r="J72" s="143"/>
      <c r="K72" s="143"/>
      <c r="L72" s="143"/>
      <c r="M72" s="144"/>
    </row>
    <row r="73" spans="1:13" ht="14.25" customHeight="1">
      <c r="A73" s="137"/>
      <c r="B73" s="41" t="s">
        <v>122</v>
      </c>
      <c r="C73" s="145">
        <f>I65</f>
        <v>31200</v>
      </c>
      <c r="D73" s="146"/>
      <c r="E73" s="140"/>
      <c r="F73" s="121"/>
      <c r="G73" s="121"/>
      <c r="H73" s="121"/>
      <c r="I73" s="122"/>
      <c r="J73" s="143"/>
      <c r="K73" s="143"/>
      <c r="L73" s="143"/>
      <c r="M73" s="144"/>
    </row>
    <row r="74" spans="1:13" ht="14.25" customHeight="1">
      <c r="A74" s="137"/>
      <c r="B74" s="41" t="s">
        <v>123</v>
      </c>
      <c r="C74" s="145">
        <f>G43</f>
        <v>0</v>
      </c>
      <c r="D74" s="146"/>
      <c r="E74" s="140"/>
      <c r="F74" s="121"/>
      <c r="G74" s="121"/>
      <c r="H74" s="121"/>
      <c r="I74" s="122"/>
      <c r="J74" s="143"/>
      <c r="K74" s="143"/>
      <c r="L74" s="143"/>
      <c r="M74" s="144"/>
    </row>
    <row r="75" spans="1:13" ht="14.25" customHeight="1">
      <c r="A75" s="137" t="s">
        <v>285</v>
      </c>
      <c r="B75" s="78" t="s">
        <v>346</v>
      </c>
      <c r="C75" s="145"/>
      <c r="D75" s="146"/>
      <c r="E75" s="140"/>
      <c r="F75" s="121"/>
      <c r="G75" s="121"/>
      <c r="H75" s="121"/>
      <c r="I75" s="122"/>
      <c r="J75" s="143"/>
      <c r="K75" s="143"/>
      <c r="L75" s="143"/>
      <c r="M75" s="144"/>
    </row>
    <row r="76" spans="1:13" ht="14.25" customHeight="1">
      <c r="A76" s="137" t="s">
        <v>345</v>
      </c>
      <c r="B76" s="78" t="s">
        <v>347</v>
      </c>
      <c r="C76" s="145"/>
      <c r="D76" s="146"/>
      <c r="E76" s="140"/>
      <c r="F76" s="121"/>
      <c r="G76" s="121"/>
      <c r="H76" s="121"/>
      <c r="I76" s="122"/>
      <c r="J76" s="143"/>
      <c r="K76" s="143"/>
      <c r="L76" s="143"/>
      <c r="M76" s="144"/>
    </row>
    <row r="77" spans="1:13" ht="14.25" customHeight="1">
      <c r="A77" s="137" t="s">
        <v>286</v>
      </c>
      <c r="B77" s="78" t="s">
        <v>348</v>
      </c>
      <c r="D77" s="146"/>
      <c r="E77" s="140"/>
      <c r="F77" s="121"/>
      <c r="G77" s="121"/>
      <c r="H77" s="121"/>
      <c r="I77" s="122"/>
      <c r="J77" s="143"/>
      <c r="K77" s="143"/>
      <c r="L77" s="143"/>
      <c r="M77" s="144"/>
    </row>
    <row r="78" spans="1:13" ht="14.25" customHeight="1">
      <c r="A78" s="137" t="s">
        <v>344</v>
      </c>
      <c r="B78" s="78" t="s">
        <v>349</v>
      </c>
      <c r="D78" s="146"/>
      <c r="E78" s="140"/>
      <c r="F78" s="121"/>
      <c r="G78" s="121"/>
      <c r="H78" s="121"/>
      <c r="I78" s="122"/>
      <c r="J78" s="143"/>
      <c r="K78" s="143"/>
      <c r="L78" s="143"/>
      <c r="M78" s="144"/>
    </row>
    <row r="79" spans="1:13" ht="14.25" customHeight="1">
      <c r="A79" s="137"/>
      <c r="B79" s="78"/>
      <c r="C79" s="145"/>
      <c r="D79" s="146"/>
      <c r="E79" s="140"/>
      <c r="F79" s="121"/>
      <c r="G79" s="121"/>
      <c r="H79" s="121"/>
      <c r="I79" s="122"/>
      <c r="J79" s="143"/>
      <c r="K79" s="143"/>
      <c r="L79" s="143"/>
      <c r="M79" s="144"/>
    </row>
    <row r="80" spans="1:13" ht="14.25" customHeight="1">
      <c r="A80" s="137" t="s">
        <v>287</v>
      </c>
      <c r="B80" s="78" t="s">
        <v>124</v>
      </c>
      <c r="C80" s="145"/>
      <c r="D80" s="146"/>
      <c r="E80" s="140"/>
      <c r="F80" s="121"/>
      <c r="G80" s="121"/>
      <c r="H80" s="121"/>
      <c r="I80" s="122"/>
      <c r="J80" s="143"/>
      <c r="K80" s="143"/>
      <c r="L80" s="143"/>
      <c r="M80" s="144"/>
    </row>
    <row r="81" spans="1:13" ht="14.25" customHeight="1">
      <c r="A81" s="137" t="s">
        <v>288</v>
      </c>
      <c r="B81" s="78" t="s">
        <v>125</v>
      </c>
      <c r="C81" s="145"/>
      <c r="D81" s="146"/>
      <c r="E81" s="140"/>
      <c r="F81" s="121"/>
      <c r="G81" s="121"/>
      <c r="H81" s="121"/>
      <c r="I81" s="122"/>
      <c r="J81" s="143"/>
      <c r="K81" s="143"/>
      <c r="L81" s="143"/>
      <c r="M81" s="144"/>
    </row>
    <row r="82" spans="1:13" ht="14.25" customHeight="1">
      <c r="A82" s="137" t="s">
        <v>289</v>
      </c>
      <c r="B82" s="78" t="s">
        <v>126</v>
      </c>
      <c r="C82" s="145"/>
      <c r="D82" s="146"/>
      <c r="E82" s="140"/>
      <c r="F82" s="121"/>
      <c r="G82" s="121"/>
      <c r="H82" s="121"/>
      <c r="I82" s="122"/>
      <c r="J82" s="143"/>
      <c r="K82" s="143"/>
      <c r="L82" s="143"/>
      <c r="M82" s="144"/>
    </row>
    <row r="83" spans="1:13" ht="14.25" customHeight="1">
      <c r="A83" s="137" t="s">
        <v>290</v>
      </c>
      <c r="B83" s="78" t="s">
        <v>127</v>
      </c>
      <c r="C83" s="145"/>
      <c r="D83" s="146"/>
      <c r="E83" s="140"/>
      <c r="F83" s="121"/>
      <c r="G83" s="121"/>
      <c r="H83" s="121"/>
      <c r="I83" s="122"/>
      <c r="J83" s="143"/>
      <c r="K83" s="143"/>
      <c r="L83" s="143"/>
      <c r="M83" s="144"/>
    </row>
    <row r="84" spans="1:13" ht="14.25" customHeight="1">
      <c r="A84" s="137"/>
      <c r="B84" s="78"/>
      <c r="C84" s="145"/>
      <c r="D84" s="146"/>
      <c r="E84" s="140"/>
      <c r="F84" s="121"/>
      <c r="G84" s="121"/>
      <c r="H84" s="121"/>
      <c r="I84" s="122"/>
      <c r="J84" s="143"/>
      <c r="K84" s="143"/>
      <c r="L84" s="143"/>
      <c r="M84" s="144"/>
    </row>
    <row r="85" spans="1:13" ht="14.25" customHeight="1">
      <c r="A85" s="137" t="s">
        <v>304</v>
      </c>
      <c r="B85" s="78" t="s">
        <v>305</v>
      </c>
      <c r="C85" s="145"/>
      <c r="D85" s="146"/>
      <c r="E85" s="140"/>
      <c r="F85" s="121"/>
      <c r="G85" s="121"/>
      <c r="H85" s="121"/>
      <c r="I85" s="122"/>
      <c r="J85" s="143"/>
      <c r="K85" s="143"/>
      <c r="L85" s="143"/>
      <c r="M85" s="144"/>
    </row>
    <row r="86" spans="1:13" ht="14.25" customHeight="1">
      <c r="A86" s="137" t="s">
        <v>309</v>
      </c>
      <c r="B86" s="78" t="s">
        <v>306</v>
      </c>
      <c r="C86" s="145"/>
      <c r="D86" s="146"/>
      <c r="E86" s="140"/>
      <c r="F86" s="121"/>
      <c r="G86" s="121"/>
      <c r="H86" s="121"/>
      <c r="I86" s="122"/>
      <c r="J86" s="143"/>
      <c r="K86" s="143"/>
      <c r="L86" s="143"/>
      <c r="M86" s="144"/>
    </row>
    <row r="87" spans="1:13" ht="14.25" customHeight="1">
      <c r="A87" s="137" t="s">
        <v>310</v>
      </c>
      <c r="B87" s="78" t="s">
        <v>307</v>
      </c>
      <c r="C87" s="145"/>
      <c r="D87" s="146"/>
      <c r="E87" s="140"/>
      <c r="F87" s="121"/>
      <c r="G87" s="121"/>
      <c r="H87" s="121"/>
      <c r="I87" s="122"/>
      <c r="J87" s="143"/>
      <c r="K87" s="143"/>
      <c r="L87" s="143"/>
      <c r="M87" s="144"/>
    </row>
    <row r="88" spans="1:13" ht="14.25" customHeight="1">
      <c r="A88" s="137" t="s">
        <v>311</v>
      </c>
      <c r="B88" s="148" t="s">
        <v>308</v>
      </c>
      <c r="C88" s="145"/>
      <c r="D88" s="146"/>
      <c r="E88" s="140"/>
      <c r="F88" s="149"/>
      <c r="G88" s="149"/>
      <c r="H88" s="149"/>
      <c r="I88" s="150"/>
      <c r="J88" s="143"/>
      <c r="K88" s="143"/>
      <c r="L88" s="143"/>
      <c r="M88" s="144"/>
    </row>
    <row r="89" spans="1:13" ht="14.25" customHeight="1">
      <c r="A89" s="137"/>
      <c r="C89" s="145"/>
      <c r="D89" s="146"/>
      <c r="E89" s="140"/>
      <c r="F89" s="121"/>
      <c r="G89" s="121"/>
      <c r="H89" s="121"/>
      <c r="I89" s="122"/>
      <c r="J89" s="143"/>
      <c r="K89" s="143"/>
      <c r="L89" s="143"/>
      <c r="M89" s="144"/>
    </row>
    <row r="90" spans="1:13" ht="14.25" customHeight="1">
      <c r="A90" s="137" t="s">
        <v>312</v>
      </c>
      <c r="B90" s="78" t="s">
        <v>128</v>
      </c>
      <c r="C90" s="145"/>
      <c r="D90" s="146"/>
      <c r="E90" s="140"/>
      <c r="F90" s="121"/>
      <c r="G90" s="121"/>
      <c r="H90" s="121"/>
      <c r="I90" s="122"/>
      <c r="J90" s="143"/>
      <c r="K90" s="143"/>
      <c r="L90" s="143"/>
      <c r="M90" s="144"/>
    </row>
    <row r="91" spans="1:13" ht="14.25" customHeight="1">
      <c r="A91" s="137" t="s">
        <v>313</v>
      </c>
      <c r="B91" s="78" t="s">
        <v>129</v>
      </c>
      <c r="C91" s="145"/>
      <c r="D91" s="146"/>
      <c r="E91" s="140"/>
      <c r="F91" s="121"/>
      <c r="G91" s="121"/>
      <c r="H91" s="121"/>
      <c r="I91" s="122"/>
      <c r="J91" s="143"/>
      <c r="K91" s="143"/>
      <c r="L91" s="143"/>
      <c r="M91" s="144"/>
    </row>
    <row r="92" spans="1:13" ht="14.25" customHeight="1">
      <c r="A92" s="137" t="s">
        <v>314</v>
      </c>
      <c r="B92" s="78" t="s">
        <v>291</v>
      </c>
      <c r="C92" s="145"/>
      <c r="D92" s="146"/>
      <c r="E92" s="140"/>
      <c r="F92" s="121"/>
      <c r="G92" s="121"/>
      <c r="H92" s="121"/>
      <c r="I92" s="122"/>
      <c r="J92" s="143"/>
      <c r="K92" s="143"/>
      <c r="L92" s="143"/>
      <c r="M92" s="144"/>
    </row>
    <row r="93" spans="1:13" ht="14.25" customHeight="1">
      <c r="A93" s="137" t="s">
        <v>315</v>
      </c>
      <c r="B93" s="148" t="s">
        <v>296</v>
      </c>
      <c r="C93" s="145"/>
      <c r="D93" s="146"/>
      <c r="E93" s="140"/>
      <c r="F93" s="149"/>
      <c r="G93" s="149"/>
      <c r="H93" s="149"/>
      <c r="I93" s="150"/>
      <c r="J93" s="143"/>
      <c r="K93" s="143"/>
      <c r="L93" s="143"/>
      <c r="M93" s="144"/>
    </row>
    <row r="94" spans="1:13" ht="14.25" customHeight="1">
      <c r="A94" s="137"/>
      <c r="C94" s="151"/>
      <c r="D94" s="152"/>
      <c r="E94" s="153"/>
      <c r="F94" s="121"/>
      <c r="G94" s="121"/>
      <c r="H94" s="121"/>
      <c r="I94" s="122"/>
      <c r="J94" s="143"/>
      <c r="K94" s="143"/>
      <c r="L94" s="143"/>
      <c r="M94" s="144"/>
    </row>
    <row r="95" spans="1:13" ht="14.25" customHeight="1">
      <c r="A95" s="137" t="s">
        <v>316</v>
      </c>
      <c r="B95" s="78" t="s">
        <v>292</v>
      </c>
      <c r="C95" s="151"/>
      <c r="D95" s="152"/>
      <c r="E95" s="153"/>
      <c r="F95" s="121"/>
      <c r="G95" s="121"/>
      <c r="H95" s="121"/>
      <c r="I95" s="122"/>
      <c r="J95" s="143"/>
      <c r="K95" s="143"/>
      <c r="L95" s="143"/>
      <c r="M95" s="144"/>
    </row>
    <row r="96" spans="1:13" ht="14.25" customHeight="1">
      <c r="A96" s="137" t="s">
        <v>317</v>
      </c>
      <c r="B96" s="78" t="s">
        <v>293</v>
      </c>
      <c r="C96" s="151"/>
      <c r="D96" s="152"/>
      <c r="E96" s="153"/>
      <c r="F96" s="121"/>
      <c r="G96" s="121"/>
      <c r="H96" s="121"/>
      <c r="I96" s="122"/>
      <c r="J96" s="143"/>
      <c r="K96" s="143"/>
      <c r="L96" s="143"/>
      <c r="M96" s="144"/>
    </row>
    <row r="97" spans="1:13" ht="14.25" customHeight="1">
      <c r="A97" s="137" t="s">
        <v>280</v>
      </c>
      <c r="B97" s="78" t="s">
        <v>294</v>
      </c>
      <c r="C97" s="151"/>
      <c r="D97" s="152"/>
      <c r="E97" s="153"/>
      <c r="F97" s="121"/>
      <c r="G97" s="121"/>
      <c r="H97" s="121"/>
      <c r="I97" s="122"/>
      <c r="J97" s="143"/>
      <c r="K97" s="143"/>
      <c r="L97" s="143"/>
      <c r="M97" s="144"/>
    </row>
    <row r="98" spans="1:13" ht="14.25" customHeight="1">
      <c r="A98" s="137" t="s">
        <v>318</v>
      </c>
      <c r="B98" s="148" t="s">
        <v>297</v>
      </c>
      <c r="C98" s="145"/>
      <c r="D98" s="146"/>
      <c r="E98" s="140"/>
      <c r="F98" s="149"/>
      <c r="G98" s="149"/>
      <c r="H98" s="149"/>
      <c r="I98" s="150"/>
      <c r="J98" s="143"/>
      <c r="K98" s="143"/>
      <c r="L98" s="143"/>
      <c r="M98" s="144"/>
    </row>
    <row r="99" spans="1:13" ht="14.25" customHeight="1">
      <c r="A99" s="137"/>
      <c r="C99" s="151"/>
      <c r="D99" s="152"/>
      <c r="E99" s="153"/>
      <c r="F99" s="121"/>
      <c r="G99" s="121"/>
      <c r="H99" s="121"/>
      <c r="I99" s="122"/>
      <c r="J99" s="143"/>
      <c r="K99" s="143"/>
      <c r="L99" s="143"/>
      <c r="M99" s="144"/>
    </row>
    <row r="100" spans="1:13" ht="14.25" customHeight="1">
      <c r="A100" s="137" t="s">
        <v>319</v>
      </c>
      <c r="B100" s="78" t="s">
        <v>130</v>
      </c>
      <c r="C100" s="151"/>
      <c r="D100" s="152"/>
      <c r="E100" s="153"/>
      <c r="F100" s="121"/>
      <c r="G100" s="121"/>
      <c r="H100" s="121"/>
      <c r="I100" s="122"/>
      <c r="J100" s="143"/>
      <c r="K100" s="143"/>
      <c r="L100" s="143"/>
      <c r="M100" s="144"/>
    </row>
    <row r="101" spans="1:13" ht="14.25" customHeight="1">
      <c r="A101" s="137" t="s">
        <v>320</v>
      </c>
      <c r="B101" s="78" t="s">
        <v>131</v>
      </c>
      <c r="C101" s="151"/>
      <c r="D101" s="152"/>
      <c r="E101" s="153"/>
      <c r="F101" s="121"/>
      <c r="G101" s="121"/>
      <c r="H101" s="121"/>
      <c r="I101" s="122"/>
      <c r="J101" s="143"/>
      <c r="K101" s="143"/>
      <c r="L101" s="143"/>
      <c r="M101" s="144"/>
    </row>
    <row r="102" spans="1:13" ht="14.25" customHeight="1">
      <c r="A102" s="137" t="s">
        <v>281</v>
      </c>
      <c r="B102" s="78" t="s">
        <v>295</v>
      </c>
      <c r="C102" s="151"/>
      <c r="D102" s="152"/>
      <c r="E102" s="153"/>
      <c r="F102" s="121"/>
      <c r="G102" s="121"/>
      <c r="H102" s="121"/>
      <c r="I102" s="122"/>
      <c r="J102" s="143"/>
      <c r="K102" s="143"/>
      <c r="L102" s="143"/>
      <c r="M102" s="144"/>
    </row>
    <row r="103" spans="1:13" ht="14.25" customHeight="1">
      <c r="A103" s="137" t="s">
        <v>321</v>
      </c>
      <c r="B103" s="148" t="s">
        <v>298</v>
      </c>
      <c r="C103" s="145"/>
      <c r="D103" s="146"/>
      <c r="E103" s="140"/>
      <c r="F103" s="149"/>
      <c r="G103" s="149"/>
      <c r="H103" s="149"/>
      <c r="I103" s="150"/>
      <c r="J103" s="143"/>
      <c r="K103" s="143"/>
      <c r="L103" s="143"/>
      <c r="M103" s="144"/>
    </row>
    <row r="104" spans="1:13" ht="14.25" customHeight="1">
      <c r="A104" s="137"/>
      <c r="B104" s="78"/>
      <c r="C104" s="151"/>
      <c r="D104" s="152"/>
      <c r="E104" s="153"/>
      <c r="F104" s="121"/>
      <c r="G104" s="121"/>
      <c r="H104" s="121"/>
      <c r="I104" s="122"/>
      <c r="J104" s="143"/>
      <c r="K104" s="143"/>
      <c r="L104" s="143"/>
      <c r="M104" s="144"/>
    </row>
    <row r="105" spans="1:13" ht="14.25" customHeight="1">
      <c r="A105" s="137" t="s">
        <v>322</v>
      </c>
      <c r="B105" s="78" t="s">
        <v>300</v>
      </c>
      <c r="C105" s="151"/>
      <c r="D105" s="152"/>
      <c r="E105" s="153"/>
      <c r="F105" s="121"/>
      <c r="G105" s="121"/>
      <c r="H105" s="121"/>
      <c r="I105" s="122"/>
      <c r="J105" s="143"/>
      <c r="K105" s="143"/>
      <c r="L105" s="143"/>
      <c r="M105" s="144"/>
    </row>
    <row r="106" spans="1:13" ht="14.25" customHeight="1">
      <c r="A106" s="137" t="s">
        <v>323</v>
      </c>
      <c r="B106" s="78" t="s">
        <v>132</v>
      </c>
      <c r="C106" s="151"/>
      <c r="D106" s="152"/>
      <c r="E106" s="153"/>
      <c r="F106" s="121"/>
      <c r="G106" s="121"/>
      <c r="H106" s="121"/>
      <c r="I106" s="122"/>
      <c r="J106" s="143"/>
      <c r="K106" s="143"/>
      <c r="L106" s="143"/>
      <c r="M106" s="144"/>
    </row>
    <row r="107" spans="1:13" ht="14.25" customHeight="1">
      <c r="A107" s="137" t="s">
        <v>324</v>
      </c>
      <c r="B107" s="78" t="s">
        <v>301</v>
      </c>
      <c r="C107" s="151"/>
      <c r="D107" s="152"/>
      <c r="E107" s="153"/>
      <c r="F107" s="121"/>
      <c r="G107" s="121"/>
      <c r="H107" s="121"/>
      <c r="I107" s="122"/>
      <c r="J107" s="143"/>
      <c r="K107" s="143"/>
      <c r="L107" s="143"/>
      <c r="M107" s="144"/>
    </row>
    <row r="108" spans="1:13" ht="14.25" customHeight="1">
      <c r="A108" s="137" t="s">
        <v>325</v>
      </c>
      <c r="B108" s="148" t="s">
        <v>299</v>
      </c>
      <c r="C108" s="145"/>
      <c r="D108" s="146"/>
      <c r="E108" s="140"/>
      <c r="F108" s="149"/>
      <c r="G108" s="149"/>
      <c r="H108" s="149"/>
      <c r="I108" s="150"/>
      <c r="J108" s="143"/>
      <c r="K108" s="143"/>
      <c r="L108" s="143"/>
      <c r="M108" s="144"/>
    </row>
    <row r="109" spans="1:13" ht="14.25" customHeight="1">
      <c r="A109" s="137" t="s">
        <v>326</v>
      </c>
      <c r="B109" s="78" t="s">
        <v>133</v>
      </c>
      <c r="C109" s="151"/>
      <c r="D109" s="152"/>
      <c r="E109" s="153"/>
      <c r="F109" s="121"/>
      <c r="G109" s="121"/>
      <c r="H109" s="121"/>
      <c r="I109" s="122"/>
      <c r="J109" s="143"/>
      <c r="K109" s="143"/>
      <c r="L109" s="143"/>
      <c r="M109" s="144"/>
    </row>
    <row r="110" spans="1:13" ht="14.25" customHeight="1">
      <c r="A110" s="137" t="s">
        <v>327</v>
      </c>
      <c r="B110" s="154" t="s">
        <v>134</v>
      </c>
      <c r="C110" s="151"/>
      <c r="D110" s="152"/>
      <c r="E110" s="153"/>
      <c r="F110" s="121"/>
      <c r="G110" s="121"/>
      <c r="H110" s="121"/>
      <c r="I110" s="122"/>
      <c r="J110" s="143"/>
      <c r="K110" s="143"/>
      <c r="L110" s="143"/>
      <c r="M110" s="144"/>
    </row>
    <row r="111" spans="1:13" ht="14.25" customHeight="1">
      <c r="A111" s="137"/>
      <c r="C111" s="151"/>
      <c r="D111" s="152"/>
      <c r="E111" s="153"/>
      <c r="F111" s="121"/>
      <c r="G111" s="121"/>
      <c r="H111" s="121"/>
      <c r="I111" s="122"/>
      <c r="J111" s="143"/>
      <c r="K111" s="143"/>
      <c r="L111" s="143"/>
      <c r="M111" s="144"/>
    </row>
    <row r="112" spans="1:13" ht="14.25" customHeight="1">
      <c r="A112" s="137" t="s">
        <v>328</v>
      </c>
      <c r="B112" s="78" t="s">
        <v>135</v>
      </c>
      <c r="C112" s="151"/>
      <c r="D112" s="152"/>
      <c r="E112" s="153"/>
      <c r="F112" s="121"/>
      <c r="G112" s="121"/>
      <c r="H112" s="121"/>
      <c r="I112" s="122"/>
      <c r="J112" s="143"/>
      <c r="K112" s="143"/>
      <c r="L112" s="143"/>
      <c r="M112" s="144"/>
    </row>
    <row r="113" spans="1:13" ht="14.25" customHeight="1">
      <c r="A113" s="137" t="s">
        <v>329</v>
      </c>
      <c r="B113" s="78" t="s">
        <v>136</v>
      </c>
      <c r="C113" s="151"/>
      <c r="D113" s="152"/>
      <c r="E113" s="153"/>
      <c r="F113" s="121"/>
      <c r="G113" s="121"/>
      <c r="H113" s="121"/>
      <c r="I113" s="122"/>
      <c r="J113" s="143"/>
      <c r="K113" s="143"/>
      <c r="L113" s="143"/>
      <c r="M113" s="144"/>
    </row>
    <row r="114" spans="1:13" ht="14.25" customHeight="1">
      <c r="A114" s="137" t="s">
        <v>330</v>
      </c>
      <c r="B114" s="78" t="s">
        <v>302</v>
      </c>
      <c r="C114" s="151"/>
      <c r="D114" s="152"/>
      <c r="E114" s="153"/>
      <c r="F114" s="121"/>
      <c r="G114" s="121"/>
      <c r="H114" s="121"/>
      <c r="I114" s="122"/>
      <c r="J114" s="143"/>
      <c r="K114" s="143"/>
      <c r="L114" s="143"/>
      <c r="M114" s="144"/>
    </row>
    <row r="115" spans="1:13" ht="14.25" customHeight="1">
      <c r="A115" s="137" t="s">
        <v>331</v>
      </c>
      <c r="B115" s="148" t="s">
        <v>303</v>
      </c>
      <c r="C115" s="145"/>
      <c r="D115" s="146"/>
      <c r="E115" s="140"/>
      <c r="F115" s="149"/>
      <c r="G115" s="149"/>
      <c r="H115" s="149"/>
      <c r="I115" s="150"/>
      <c r="J115" s="143"/>
      <c r="K115" s="143"/>
      <c r="L115" s="143"/>
      <c r="M115" s="144"/>
    </row>
    <row r="116" spans="1:13" ht="14.25" customHeight="1">
      <c r="A116" s="147"/>
      <c r="B116" s="155" t="s">
        <v>137</v>
      </c>
      <c r="C116" s="156">
        <f>SUM(C75:D115)</f>
        <v>0</v>
      </c>
      <c r="D116" s="157"/>
      <c r="E116" s="140"/>
      <c r="F116" s="149">
        <f>SUM(E75:E116)</f>
        <v>0</v>
      </c>
      <c r="G116" s="149"/>
      <c r="H116" s="149"/>
      <c r="I116" s="150"/>
      <c r="J116" s="143"/>
      <c r="K116" s="143"/>
      <c r="L116" s="143"/>
      <c r="M116" s="144"/>
    </row>
    <row r="117" spans="1:13" ht="6" customHeight="1">
      <c r="A117" s="137"/>
      <c r="C117" s="151"/>
      <c r="D117" s="152"/>
      <c r="E117" s="153"/>
      <c r="F117" s="121"/>
      <c r="G117" s="121"/>
      <c r="H117" s="121"/>
      <c r="I117" s="122"/>
      <c r="J117" s="143"/>
      <c r="K117" s="143"/>
      <c r="L117" s="143"/>
      <c r="M117" s="144"/>
    </row>
    <row r="118" spans="1:13" ht="14.25" customHeight="1">
      <c r="A118" s="158" t="s">
        <v>332</v>
      </c>
      <c r="B118" s="154" t="s">
        <v>138</v>
      </c>
      <c r="C118" s="283" t="s">
        <v>396</v>
      </c>
      <c r="D118" s="152"/>
      <c r="E118" s="153"/>
      <c r="F118" s="159"/>
      <c r="G118" s="121"/>
      <c r="H118" s="121"/>
      <c r="I118" s="122"/>
      <c r="J118" s="143"/>
      <c r="K118" s="143"/>
      <c r="L118" s="143"/>
      <c r="M118" s="144"/>
    </row>
    <row r="119" spans="1:13" ht="14.25" customHeight="1">
      <c r="A119" s="158" t="s">
        <v>333</v>
      </c>
      <c r="B119" s="154" t="s">
        <v>139</v>
      </c>
      <c r="C119" s="283" t="s">
        <v>397</v>
      </c>
      <c r="D119" s="152"/>
      <c r="E119" s="153"/>
      <c r="F119" s="121"/>
      <c r="G119" s="121"/>
      <c r="H119" s="121"/>
      <c r="I119" s="122"/>
      <c r="J119" s="143"/>
      <c r="K119" s="143"/>
      <c r="L119" s="143"/>
      <c r="M119" s="144"/>
    </row>
    <row r="120" spans="1:13" ht="13.5" customHeight="1">
      <c r="A120" s="137"/>
      <c r="B120" s="160" t="s">
        <v>140</v>
      </c>
      <c r="C120" s="151" t="e">
        <f>0.25*(SUM(C119+C118))</f>
        <v>#VALUE!</v>
      </c>
      <c r="D120" s="152"/>
      <c r="E120" s="153"/>
      <c r="F120" s="159" t="s">
        <v>141</v>
      </c>
      <c r="G120" s="121"/>
      <c r="H120" s="121"/>
      <c r="I120" s="122"/>
      <c r="J120" s="143"/>
      <c r="K120" s="143"/>
      <c r="L120" s="143"/>
      <c r="M120" s="144"/>
    </row>
    <row r="121" spans="1:13" ht="14.25" customHeight="1">
      <c r="A121" s="137" t="s">
        <v>334</v>
      </c>
      <c r="B121" s="161" t="s">
        <v>142</v>
      </c>
      <c r="C121" s="151">
        <v>500</v>
      </c>
      <c r="D121" s="152"/>
      <c r="E121" s="153"/>
      <c r="F121" s="159"/>
      <c r="G121" s="159"/>
      <c r="H121" s="159"/>
      <c r="I121" s="162"/>
      <c r="J121" s="143"/>
      <c r="K121" s="143"/>
      <c r="L121" s="143"/>
      <c r="M121" s="144"/>
    </row>
    <row r="122" spans="1:13" ht="5.25" customHeight="1">
      <c r="A122" s="137"/>
      <c r="B122" s="161"/>
      <c r="C122" s="151"/>
      <c r="D122" s="152"/>
      <c r="E122" s="153"/>
      <c r="F122" s="121"/>
      <c r="G122" s="121"/>
      <c r="H122" s="121"/>
      <c r="I122" s="122"/>
      <c r="J122" s="143"/>
      <c r="K122" s="143"/>
      <c r="L122" s="143"/>
      <c r="M122" s="144"/>
    </row>
    <row r="123" spans="1:13" ht="14.25" customHeight="1">
      <c r="A123" s="160" t="s">
        <v>335</v>
      </c>
      <c r="B123" s="161" t="s">
        <v>143</v>
      </c>
      <c r="C123" s="283" t="s">
        <v>398</v>
      </c>
      <c r="D123" s="152"/>
      <c r="E123" s="153"/>
      <c r="F123" s="121"/>
      <c r="G123" s="121"/>
      <c r="H123" s="121"/>
      <c r="I123" s="122"/>
      <c r="J123" s="143"/>
      <c r="K123" s="143"/>
      <c r="L123" s="143"/>
      <c r="M123" s="144"/>
    </row>
    <row r="124" spans="1:13" ht="14.25" customHeight="1">
      <c r="A124" s="137" t="s">
        <v>336</v>
      </c>
      <c r="B124" s="161" t="s">
        <v>144</v>
      </c>
      <c r="C124" s="283" t="s">
        <v>399</v>
      </c>
      <c r="D124" s="152"/>
      <c r="E124" s="153"/>
      <c r="F124" s="121"/>
      <c r="G124" s="121"/>
      <c r="H124" s="121"/>
      <c r="I124" s="122"/>
      <c r="J124" s="143"/>
      <c r="K124" s="143"/>
      <c r="L124" s="143"/>
      <c r="M124" s="144"/>
    </row>
    <row r="125" spans="1:13" ht="14.25" customHeight="1">
      <c r="A125" s="137"/>
      <c r="B125" s="161"/>
      <c r="C125" s="151"/>
      <c r="D125" s="152"/>
      <c r="E125" s="153"/>
      <c r="F125" s="121"/>
      <c r="G125" s="121"/>
      <c r="H125" s="121"/>
      <c r="I125" s="122"/>
      <c r="J125" s="143"/>
      <c r="K125" s="143"/>
      <c r="L125" s="143"/>
      <c r="M125" s="144"/>
    </row>
    <row r="126" spans="1:13" ht="14.25" customHeight="1">
      <c r="A126" s="137" t="s">
        <v>145</v>
      </c>
      <c r="B126" s="161" t="s">
        <v>146</v>
      </c>
      <c r="C126" s="151">
        <v>1000</v>
      </c>
      <c r="D126" s="152"/>
      <c r="E126" s="153"/>
      <c r="F126" s="121"/>
      <c r="G126" s="121"/>
      <c r="H126" s="121"/>
      <c r="I126" s="122"/>
      <c r="J126" s="143"/>
      <c r="K126" s="143"/>
      <c r="L126" s="143"/>
      <c r="M126" s="144"/>
    </row>
    <row r="127" spans="1:13" ht="14.25" customHeight="1">
      <c r="A127" s="137" t="s">
        <v>147</v>
      </c>
      <c r="B127" s="161" t="s">
        <v>148</v>
      </c>
      <c r="C127" s="151">
        <v>500</v>
      </c>
      <c r="D127" s="152"/>
      <c r="E127" s="153"/>
      <c r="F127" s="121"/>
      <c r="G127" s="121"/>
      <c r="H127" s="121"/>
      <c r="I127" s="122"/>
      <c r="J127" s="143"/>
      <c r="K127" s="143"/>
      <c r="L127" s="143"/>
      <c r="M127" s="144"/>
    </row>
    <row r="128" spans="1:13" ht="14.25" customHeight="1">
      <c r="A128" s="137" t="s">
        <v>338</v>
      </c>
      <c r="B128" s="161" t="s">
        <v>149</v>
      </c>
      <c r="C128" s="151">
        <v>0</v>
      </c>
      <c r="D128" s="152"/>
      <c r="E128" s="153"/>
      <c r="F128" s="121"/>
      <c r="G128" s="121"/>
      <c r="H128" s="121"/>
      <c r="I128" s="122"/>
      <c r="J128" s="143"/>
      <c r="K128" s="143"/>
      <c r="L128" s="143"/>
      <c r="M128" s="144"/>
    </row>
    <row r="129" spans="1:13" ht="14.25" customHeight="1">
      <c r="A129" s="137" t="s">
        <v>337</v>
      </c>
      <c r="B129" s="161" t="s">
        <v>150</v>
      </c>
      <c r="C129" s="151">
        <v>250</v>
      </c>
      <c r="D129" s="152"/>
      <c r="E129" s="153"/>
      <c r="F129" s="121"/>
      <c r="G129" s="121"/>
      <c r="H129" s="121"/>
      <c r="I129" s="122"/>
      <c r="J129" s="143"/>
      <c r="K129" s="143"/>
      <c r="L129" s="143"/>
      <c r="M129" s="144"/>
    </row>
    <row r="130" spans="1:13" ht="27.75" customHeight="1">
      <c r="A130" s="147" t="s">
        <v>339</v>
      </c>
      <c r="B130" s="148" t="s">
        <v>393</v>
      </c>
      <c r="C130" s="145">
        <v>0</v>
      </c>
      <c r="D130" s="146"/>
      <c r="E130" s="140"/>
      <c r="F130" s="121"/>
      <c r="G130" s="121"/>
      <c r="H130" s="121"/>
      <c r="I130" s="122"/>
      <c r="J130" s="143"/>
      <c r="K130" s="143"/>
      <c r="L130" s="143"/>
      <c r="M130" s="144"/>
    </row>
    <row r="131" spans="1:13" ht="14.25" customHeight="1">
      <c r="A131" s="137" t="s">
        <v>340</v>
      </c>
      <c r="B131" s="161" t="s">
        <v>152</v>
      </c>
      <c r="C131" s="151"/>
      <c r="D131" s="152"/>
      <c r="E131" s="153"/>
      <c r="F131" s="159"/>
      <c r="G131" s="159"/>
      <c r="H131" s="159"/>
      <c r="I131" s="162"/>
      <c r="J131" s="143"/>
      <c r="K131" s="143"/>
      <c r="L131" s="143"/>
      <c r="M131" s="144"/>
    </row>
    <row r="132" spans="1:13" ht="14.25" customHeight="1">
      <c r="A132" s="137" t="s">
        <v>153</v>
      </c>
      <c r="B132" s="161" t="s">
        <v>392</v>
      </c>
      <c r="C132" s="151">
        <v>600</v>
      </c>
      <c r="D132" s="152"/>
      <c r="E132" s="153"/>
      <c r="F132" s="159"/>
      <c r="G132" s="159"/>
      <c r="H132" s="159"/>
      <c r="I132" s="162"/>
      <c r="J132" s="143"/>
      <c r="K132" s="143"/>
      <c r="L132" s="143"/>
      <c r="M132" s="144"/>
    </row>
    <row r="133" spans="1:13" ht="14.25" customHeight="1" thickBot="1">
      <c r="A133" s="137" t="s">
        <v>341</v>
      </c>
      <c r="B133" s="161" t="s">
        <v>155</v>
      </c>
      <c r="C133" s="151">
        <v>600</v>
      </c>
      <c r="D133" s="152"/>
      <c r="E133" s="153"/>
      <c r="F133" s="159"/>
      <c r="G133" s="159"/>
      <c r="H133" s="159"/>
      <c r="I133" s="162"/>
      <c r="J133" s="143"/>
      <c r="K133" s="143"/>
      <c r="L133" s="143"/>
      <c r="M133" s="144"/>
    </row>
    <row r="134" spans="1:13" ht="14.25" customHeight="1" thickBot="1">
      <c r="A134" s="163"/>
      <c r="B134" s="164"/>
      <c r="C134" s="165" t="e">
        <f>SUM(C69:D133)-C116</f>
        <v>#VALUE!</v>
      </c>
      <c r="D134" s="164"/>
      <c r="E134" s="166">
        <f>SUM(E69:E133)</f>
        <v>0</v>
      </c>
      <c r="F134" s="131"/>
      <c r="G134" s="131"/>
      <c r="H134" s="131"/>
      <c r="I134" s="132"/>
      <c r="J134" s="121"/>
      <c r="K134" s="121"/>
      <c r="L134" s="121"/>
      <c r="M134" s="18"/>
    </row>
    <row r="135" spans="2:8" s="18" customFormat="1" ht="14.25" customHeight="1" thickBot="1">
      <c r="B135" s="161"/>
      <c r="C135" s="167"/>
      <c r="D135" s="167"/>
      <c r="E135" s="26"/>
      <c r="F135" s="26"/>
      <c r="G135" s="26"/>
      <c r="H135" s="26"/>
    </row>
    <row r="136" spans="1:13" ht="14.25" customHeight="1" thickBot="1">
      <c r="A136" s="133" t="s">
        <v>78</v>
      </c>
      <c r="B136" s="133" t="s">
        <v>156</v>
      </c>
      <c r="C136" s="133" t="s">
        <v>15</v>
      </c>
      <c r="D136" s="168" t="s">
        <v>157</v>
      </c>
      <c r="E136" s="169" t="s">
        <v>9</v>
      </c>
      <c r="F136" s="100"/>
      <c r="G136" s="100"/>
      <c r="H136" s="100"/>
      <c r="I136" s="92"/>
      <c r="J136" s="136"/>
      <c r="K136" s="136"/>
      <c r="L136" s="136"/>
      <c r="M136" s="136"/>
    </row>
    <row r="137" spans="1:13" ht="14.25" customHeight="1">
      <c r="A137" s="137"/>
      <c r="B137" s="33"/>
      <c r="C137" s="170"/>
      <c r="D137" s="171"/>
      <c r="E137" s="172"/>
      <c r="F137" s="136"/>
      <c r="G137" s="136"/>
      <c r="H137" s="136"/>
      <c r="I137" s="173"/>
      <c r="J137" s="136"/>
      <c r="K137" s="136"/>
      <c r="L137" s="136"/>
      <c r="M137" s="18"/>
    </row>
    <row r="138" spans="1:13" ht="14.25" customHeight="1">
      <c r="A138" s="137"/>
      <c r="B138" s="33" t="s">
        <v>118</v>
      </c>
      <c r="C138" s="174" t="e">
        <f>$J$17</f>
        <v>#VALUE!</v>
      </c>
      <c r="D138" s="175" t="e">
        <f>$K$17</f>
        <v>#VALUE!</v>
      </c>
      <c r="E138" s="176">
        <f>L17</f>
        <v>0</v>
      </c>
      <c r="F138" s="136"/>
      <c r="G138" s="136"/>
      <c r="H138" s="136"/>
      <c r="I138" s="173"/>
      <c r="J138" s="143"/>
      <c r="K138" s="143"/>
      <c r="L138" s="143"/>
      <c r="M138" s="144"/>
    </row>
    <row r="139" spans="1:13" ht="14.25" customHeight="1">
      <c r="A139" s="137"/>
      <c r="B139" s="33" t="s">
        <v>119</v>
      </c>
      <c r="C139" s="174" t="e">
        <f>$J$25</f>
        <v>#VALUE!</v>
      </c>
      <c r="D139" s="175" t="e">
        <f>$K$25</f>
        <v>#VALUE!</v>
      </c>
      <c r="E139" s="176">
        <f>L25</f>
        <v>0</v>
      </c>
      <c r="F139" s="136"/>
      <c r="G139" s="136"/>
      <c r="H139" s="136"/>
      <c r="I139" s="173"/>
      <c r="J139" s="143"/>
      <c r="K139" s="143"/>
      <c r="L139" s="143"/>
      <c r="M139" s="144"/>
    </row>
    <row r="140" spans="1:13" ht="14.25" customHeight="1">
      <c r="A140" s="137"/>
      <c r="B140" s="33" t="s">
        <v>120</v>
      </c>
      <c r="C140" s="174">
        <f>$J$32</f>
        <v>338.4</v>
      </c>
      <c r="D140" s="175" t="e">
        <f>$K$32</f>
        <v>#VALUE!</v>
      </c>
      <c r="E140" s="176">
        <f>L32</f>
        <v>0</v>
      </c>
      <c r="F140" s="136"/>
      <c r="G140" s="136"/>
      <c r="H140" s="136"/>
      <c r="I140" s="173"/>
      <c r="J140" s="143"/>
      <c r="K140" s="143"/>
      <c r="L140" s="143"/>
      <c r="M140" s="144"/>
    </row>
    <row r="141" spans="1:13" ht="14.25" customHeight="1">
      <c r="A141" s="137"/>
      <c r="B141" s="33" t="s">
        <v>121</v>
      </c>
      <c r="C141" s="174">
        <f>G38</f>
        <v>0</v>
      </c>
      <c r="D141" s="175" t="e">
        <f>$K$38</f>
        <v>#VALUE!</v>
      </c>
      <c r="E141" s="176">
        <f>L38</f>
        <v>0</v>
      </c>
      <c r="F141" s="136"/>
      <c r="G141" s="136"/>
      <c r="H141" s="136"/>
      <c r="I141" s="173"/>
      <c r="J141" s="143"/>
      <c r="K141" s="143"/>
      <c r="L141" s="143"/>
      <c r="M141" s="144"/>
    </row>
    <row r="142" spans="1:13" ht="14.25" customHeight="1">
      <c r="A142" s="137"/>
      <c r="B142" s="33" t="s">
        <v>123</v>
      </c>
      <c r="C142" s="174">
        <f>$J$43</f>
        <v>0</v>
      </c>
      <c r="D142" s="175" t="e">
        <f>$K$43</f>
        <v>#VALUE!</v>
      </c>
      <c r="E142" s="176">
        <f>L43</f>
        <v>0</v>
      </c>
      <c r="F142" s="136"/>
      <c r="G142" s="136"/>
      <c r="H142" s="136"/>
      <c r="I142" s="173"/>
      <c r="J142" s="143"/>
      <c r="K142" s="143"/>
      <c r="L142" s="143"/>
      <c r="M142" s="144"/>
    </row>
    <row r="143" spans="1:13" ht="14.25" customHeight="1">
      <c r="A143" s="137"/>
      <c r="B143" s="33"/>
      <c r="C143" s="174"/>
      <c r="D143" s="175"/>
      <c r="E143" s="176"/>
      <c r="F143" s="136"/>
      <c r="G143" s="136"/>
      <c r="H143" s="136"/>
      <c r="I143" s="173"/>
      <c r="J143" s="143"/>
      <c r="K143" s="143"/>
      <c r="L143" s="143"/>
      <c r="M143" s="144"/>
    </row>
    <row r="144" spans="1:13" ht="14.25" customHeight="1">
      <c r="A144" s="137"/>
      <c r="B144" s="33"/>
      <c r="C144" s="174"/>
      <c r="D144" s="175"/>
      <c r="E144" s="176"/>
      <c r="F144" s="136"/>
      <c r="G144" s="136"/>
      <c r="H144" s="136"/>
      <c r="I144" s="173"/>
      <c r="J144" s="143"/>
      <c r="K144" s="143"/>
      <c r="L144" s="143"/>
      <c r="M144" s="144"/>
    </row>
    <row r="145" spans="1:13" ht="14.25" customHeight="1">
      <c r="A145" s="137"/>
      <c r="B145" s="33"/>
      <c r="C145" s="174"/>
      <c r="D145" s="175"/>
      <c r="E145" s="176"/>
      <c r="F145" s="136"/>
      <c r="G145" s="136"/>
      <c r="H145" s="136"/>
      <c r="I145" s="173"/>
      <c r="J145" s="143"/>
      <c r="K145" s="143"/>
      <c r="L145" s="143"/>
      <c r="M145" s="144"/>
    </row>
    <row r="146" spans="1:13" ht="14.25" customHeight="1">
      <c r="A146" s="137" t="s">
        <v>342</v>
      </c>
      <c r="B146" s="33" t="s">
        <v>158</v>
      </c>
      <c r="C146" s="174">
        <v>0</v>
      </c>
      <c r="D146" s="175" t="e">
        <f>$C$146*$C$203</f>
        <v>#VALUE!</v>
      </c>
      <c r="E146" s="176"/>
      <c r="F146" s="136"/>
      <c r="G146" s="136"/>
      <c r="H146" s="136"/>
      <c r="I146" s="173"/>
      <c r="J146" s="143"/>
      <c r="K146" s="143"/>
      <c r="L146" s="143"/>
      <c r="M146" s="144"/>
    </row>
    <row r="147" spans="1:13" ht="14.25" customHeight="1">
      <c r="A147" s="137"/>
      <c r="B147" s="33"/>
      <c r="C147" s="174"/>
      <c r="D147" s="175"/>
      <c r="E147" s="176"/>
      <c r="F147" s="136"/>
      <c r="G147" s="136"/>
      <c r="H147" s="136"/>
      <c r="I147" s="173"/>
      <c r="J147" s="143"/>
      <c r="K147" s="143"/>
      <c r="L147" s="143"/>
      <c r="M147" s="144"/>
    </row>
    <row r="148" spans="1:13" ht="14.25" customHeight="1">
      <c r="A148" s="137" t="s">
        <v>343</v>
      </c>
      <c r="B148" s="33" t="s">
        <v>159</v>
      </c>
      <c r="C148" s="174">
        <v>0</v>
      </c>
      <c r="D148" s="175" t="e">
        <f>$C$148*$C$203</f>
        <v>#VALUE!</v>
      </c>
      <c r="E148" s="176"/>
      <c r="F148" s="136"/>
      <c r="G148" s="136"/>
      <c r="H148" s="136"/>
      <c r="I148" s="173"/>
      <c r="J148" s="143"/>
      <c r="K148" s="143"/>
      <c r="L148" s="143"/>
      <c r="M148" s="144"/>
    </row>
    <row r="149" spans="1:13" ht="14.25" customHeight="1">
      <c r="A149" s="137" t="s">
        <v>344</v>
      </c>
      <c r="B149" s="33" t="s">
        <v>160</v>
      </c>
      <c r="C149" s="174"/>
      <c r="D149" s="175" t="e">
        <f>$C$149*$C$203</f>
        <v>#VALUE!</v>
      </c>
      <c r="E149" s="176"/>
      <c r="F149" s="136"/>
      <c r="G149" s="136"/>
      <c r="H149" s="136"/>
      <c r="I149" s="173"/>
      <c r="J149" s="143"/>
      <c r="K149" s="143"/>
      <c r="L149" s="143"/>
      <c r="M149" s="144"/>
    </row>
    <row r="150" spans="1:13" ht="14.25" customHeight="1">
      <c r="A150" s="137" t="s">
        <v>350</v>
      </c>
      <c r="B150" s="33" t="s">
        <v>161</v>
      </c>
      <c r="C150" s="174">
        <v>0</v>
      </c>
      <c r="D150" s="175" t="e">
        <f>$C$150*$C$203</f>
        <v>#VALUE!</v>
      </c>
      <c r="E150" s="176"/>
      <c r="F150" s="136"/>
      <c r="G150" s="136"/>
      <c r="H150" s="136"/>
      <c r="I150" s="173"/>
      <c r="J150" s="143"/>
      <c r="K150" s="143"/>
      <c r="L150" s="143"/>
      <c r="M150" s="144"/>
    </row>
    <row r="151" spans="1:13" ht="14.25" customHeight="1">
      <c r="A151" s="137" t="s">
        <v>315</v>
      </c>
      <c r="B151" s="33" t="s">
        <v>162</v>
      </c>
      <c r="C151" s="174"/>
      <c r="D151" s="175" t="e">
        <f>$C$151*$C$203</f>
        <v>#VALUE!</v>
      </c>
      <c r="E151" s="176"/>
      <c r="F151" s="136"/>
      <c r="G151" s="136"/>
      <c r="H151" s="136"/>
      <c r="I151" s="173"/>
      <c r="J151" s="143"/>
      <c r="K151" s="143"/>
      <c r="L151" s="143"/>
      <c r="M151" s="144"/>
    </row>
    <row r="152" spans="1:13" ht="14.25" customHeight="1">
      <c r="A152" s="137" t="s">
        <v>351</v>
      </c>
      <c r="B152" s="33" t="s">
        <v>163</v>
      </c>
      <c r="C152" s="174">
        <v>0</v>
      </c>
      <c r="D152" s="175" t="e">
        <f>$C$152*$C$203</f>
        <v>#VALUE!</v>
      </c>
      <c r="E152" s="176"/>
      <c r="F152" s="136"/>
      <c r="G152" s="136"/>
      <c r="H152" s="136"/>
      <c r="I152" s="173"/>
      <c r="J152" s="143"/>
      <c r="K152" s="143"/>
      <c r="L152" s="143"/>
      <c r="M152" s="144"/>
    </row>
    <row r="153" spans="1:13" ht="14.25" customHeight="1">
      <c r="A153" s="137" t="s">
        <v>318</v>
      </c>
      <c r="B153" s="33" t="s">
        <v>164</v>
      </c>
      <c r="C153" s="174"/>
      <c r="D153" s="175" t="e">
        <f>$C$153*$C$203</f>
        <v>#VALUE!</v>
      </c>
      <c r="E153" s="176"/>
      <c r="F153" s="136"/>
      <c r="G153" s="136"/>
      <c r="H153" s="136"/>
      <c r="I153" s="173"/>
      <c r="J153" s="143"/>
      <c r="K153" s="143"/>
      <c r="L153" s="143"/>
      <c r="M153" s="144"/>
    </row>
    <row r="154" spans="1:13" ht="14.25" customHeight="1">
      <c r="A154" s="137" t="s">
        <v>352</v>
      </c>
      <c r="B154" s="33" t="s">
        <v>165</v>
      </c>
      <c r="C154" s="174">
        <v>0</v>
      </c>
      <c r="D154" s="175" t="e">
        <f>$C$154*$C$203</f>
        <v>#VALUE!</v>
      </c>
      <c r="E154" s="176"/>
      <c r="F154" s="136"/>
      <c r="G154" s="136"/>
      <c r="H154" s="136"/>
      <c r="I154" s="173"/>
      <c r="J154" s="143"/>
      <c r="K154" s="143"/>
      <c r="L154" s="143"/>
      <c r="M154" s="144"/>
    </row>
    <row r="155" spans="1:13" ht="14.25" customHeight="1">
      <c r="A155" s="137" t="s">
        <v>325</v>
      </c>
      <c r="B155" s="33" t="s">
        <v>166</v>
      </c>
      <c r="C155" s="174"/>
      <c r="D155" s="175" t="e">
        <f>$C$155*$C$203</f>
        <v>#VALUE!</v>
      </c>
      <c r="E155" s="176"/>
      <c r="F155" s="136"/>
      <c r="G155" s="136"/>
      <c r="H155" s="136"/>
      <c r="I155" s="173"/>
      <c r="J155" s="143"/>
      <c r="K155" s="143"/>
      <c r="L155" s="143"/>
      <c r="M155" s="144"/>
    </row>
    <row r="156" spans="1:13" ht="14.25" customHeight="1">
      <c r="A156" s="137" t="s">
        <v>353</v>
      </c>
      <c r="B156" s="33" t="s">
        <v>167</v>
      </c>
      <c r="C156" s="174">
        <v>0</v>
      </c>
      <c r="D156" s="175" t="e">
        <f>$C$156*$C$203</f>
        <v>#VALUE!</v>
      </c>
      <c r="E156" s="176"/>
      <c r="F156" s="143"/>
      <c r="G156" s="143"/>
      <c r="H156" s="143"/>
      <c r="I156" s="177"/>
      <c r="J156" s="143"/>
      <c r="K156" s="143"/>
      <c r="L156" s="143"/>
      <c r="M156" s="144"/>
    </row>
    <row r="157" spans="1:13" ht="14.25" customHeight="1">
      <c r="A157" s="137" t="s">
        <v>331</v>
      </c>
      <c r="B157" s="33" t="s">
        <v>168</v>
      </c>
      <c r="C157" s="174"/>
      <c r="D157" s="175" t="e">
        <f>$C$157*$C$203</f>
        <v>#VALUE!</v>
      </c>
      <c r="E157" s="176"/>
      <c r="F157" s="136"/>
      <c r="G157" s="136"/>
      <c r="H157" s="136"/>
      <c r="I157" s="173"/>
      <c r="J157" s="143"/>
      <c r="K157" s="143"/>
      <c r="L157" s="143"/>
      <c r="M157" s="144"/>
    </row>
    <row r="158" spans="1:13" ht="14.25" customHeight="1">
      <c r="A158" s="137" t="s">
        <v>354</v>
      </c>
      <c r="B158" s="33" t="s">
        <v>169</v>
      </c>
      <c r="C158" s="174">
        <v>0</v>
      </c>
      <c r="D158" s="175" t="e">
        <f>$C$158*$C$203</f>
        <v>#VALUE!</v>
      </c>
      <c r="E158" s="176"/>
      <c r="F158" s="136"/>
      <c r="G158" s="136"/>
      <c r="H158" s="136"/>
      <c r="I158" s="173"/>
      <c r="J158" s="143"/>
      <c r="K158" s="143"/>
      <c r="L158" s="143"/>
      <c r="M158" s="144"/>
    </row>
    <row r="159" spans="1:13" ht="14.25" customHeight="1">
      <c r="A159" s="137"/>
      <c r="B159" s="33"/>
      <c r="C159" s="174"/>
      <c r="D159" s="175"/>
      <c r="E159" s="176"/>
      <c r="F159" s="136"/>
      <c r="G159" s="136"/>
      <c r="H159" s="136"/>
      <c r="I159" s="173"/>
      <c r="J159" s="143"/>
      <c r="K159" s="143"/>
      <c r="L159" s="143"/>
      <c r="M159" s="144"/>
    </row>
    <row r="160" spans="1:13" ht="14.25" customHeight="1">
      <c r="A160" s="137"/>
      <c r="B160" s="33"/>
      <c r="C160" s="174"/>
      <c r="D160" s="175"/>
      <c r="E160" s="176"/>
      <c r="F160" s="159"/>
      <c r="G160" s="143"/>
      <c r="H160" s="143"/>
      <c r="I160" s="177"/>
      <c r="J160" s="143"/>
      <c r="K160" s="143"/>
      <c r="L160" s="143"/>
      <c r="M160" s="144"/>
    </row>
    <row r="161" spans="1:13" ht="14.25" customHeight="1">
      <c r="A161" s="137"/>
      <c r="B161" s="33"/>
      <c r="C161" s="174"/>
      <c r="D161" s="175"/>
      <c r="E161" s="176"/>
      <c r="F161" s="136"/>
      <c r="G161" s="136"/>
      <c r="H161" s="136"/>
      <c r="I161" s="173"/>
      <c r="J161" s="143"/>
      <c r="K161" s="143"/>
      <c r="L161" s="143"/>
      <c r="M161" s="144"/>
    </row>
    <row r="162" spans="1:13" ht="14.25" customHeight="1">
      <c r="A162" s="137" t="s">
        <v>355</v>
      </c>
      <c r="B162" s="33" t="s">
        <v>170</v>
      </c>
      <c r="C162" s="178"/>
      <c r="D162" s="175" t="e">
        <f>($L$173*$C$191*$C$192)</f>
        <v>#VALUE!</v>
      </c>
      <c r="E162" s="176"/>
      <c r="F162" s="136"/>
      <c r="G162" s="136"/>
      <c r="H162" s="136"/>
      <c r="I162" s="173"/>
      <c r="J162" s="143"/>
      <c r="K162" s="143"/>
      <c r="L162" s="143"/>
      <c r="M162" s="144"/>
    </row>
    <row r="163" spans="1:13" ht="14.25" customHeight="1">
      <c r="A163" s="137"/>
      <c r="B163" s="33"/>
      <c r="C163" s="174"/>
      <c r="D163" s="175"/>
      <c r="E163" s="176"/>
      <c r="F163" s="136"/>
      <c r="G163" s="136"/>
      <c r="H163" s="136"/>
      <c r="I163" s="173"/>
      <c r="J163" s="143"/>
      <c r="K163" s="143"/>
      <c r="L163" s="143"/>
      <c r="M163" s="144"/>
    </row>
    <row r="164" spans="1:13" ht="14.25" customHeight="1" thickBot="1">
      <c r="A164" s="137" t="s">
        <v>356</v>
      </c>
      <c r="B164" s="33" t="s">
        <v>171</v>
      </c>
      <c r="C164" s="178"/>
      <c r="D164" s="175" t="e">
        <f>($L$173*$F$191*$F$192)</f>
        <v>#VALUE!</v>
      </c>
      <c r="E164" s="176"/>
      <c r="F164" s="136"/>
      <c r="G164" s="136"/>
      <c r="H164" s="136"/>
      <c r="I164" s="173"/>
      <c r="J164" s="143"/>
      <c r="K164" s="143"/>
      <c r="L164" s="143"/>
      <c r="M164" s="144"/>
    </row>
    <row r="165" spans="1:13" ht="14.25" customHeight="1" thickBot="1">
      <c r="A165" s="179"/>
      <c r="B165" s="44"/>
      <c r="C165" s="44" t="e">
        <f>SUM(C138:C164)</f>
        <v>#VALUE!</v>
      </c>
      <c r="D165" s="180" t="e">
        <f>SUM(D138:D164)</f>
        <v>#VALUE!</v>
      </c>
      <c r="E165" s="181">
        <f>SUM(E137:E164)</f>
        <v>0</v>
      </c>
      <c r="F165" s="100"/>
      <c r="G165" s="100"/>
      <c r="H165" s="100"/>
      <c r="I165" s="92"/>
      <c r="J165" s="136"/>
      <c r="K165" s="136"/>
      <c r="L165" s="136"/>
      <c r="M165" s="18"/>
    </row>
    <row r="166" spans="1:13" ht="14.25" customHeight="1">
      <c r="A166" s="182"/>
      <c r="B166" s="78"/>
      <c r="C166" s="78"/>
      <c r="D166" s="154"/>
      <c r="E166" s="136"/>
      <c r="F166" s="136"/>
      <c r="G166" s="136"/>
      <c r="H166" s="136"/>
      <c r="I166" s="136"/>
      <c r="J166" s="136"/>
      <c r="K166" s="136"/>
      <c r="L166" s="136"/>
      <c r="M166" s="18"/>
    </row>
    <row r="167" spans="1:13" ht="14.25" customHeight="1">
      <c r="A167" s="182"/>
      <c r="B167" s="183" t="s">
        <v>172</v>
      </c>
      <c r="C167" s="78"/>
      <c r="D167" s="154"/>
      <c r="E167" s="136"/>
      <c r="F167" s="136"/>
      <c r="G167" s="136"/>
      <c r="H167" s="136"/>
      <c r="I167" s="136"/>
      <c r="J167" s="136"/>
      <c r="K167" s="136"/>
      <c r="L167" s="136"/>
      <c r="M167" s="18"/>
    </row>
    <row r="168" spans="1:13" ht="14.25" customHeight="1">
      <c r="A168" s="182"/>
      <c r="B168" s="78"/>
      <c r="C168" s="78"/>
      <c r="D168" s="154"/>
      <c r="E168" s="136"/>
      <c r="F168" s="136"/>
      <c r="G168" s="136"/>
      <c r="H168" s="136"/>
      <c r="I168" s="136"/>
      <c r="J168" s="136"/>
      <c r="K168" s="136"/>
      <c r="L168" s="136"/>
      <c r="M168" s="18"/>
    </row>
    <row r="169" spans="1:13" ht="14.25" customHeight="1">
      <c r="A169" s="182"/>
      <c r="B169" s="184"/>
      <c r="C169" s="78"/>
      <c r="D169" s="154"/>
      <c r="E169" s="136"/>
      <c r="F169" s="136"/>
      <c r="G169" s="136"/>
      <c r="H169" s="136"/>
      <c r="I169" s="136"/>
      <c r="J169" s="136"/>
      <c r="K169" s="136"/>
      <c r="L169" s="136"/>
      <c r="M169" s="18"/>
    </row>
    <row r="170" spans="1:13" ht="14.25" customHeight="1">
      <c r="A170" s="182"/>
      <c r="B170" s="78"/>
      <c r="C170" s="78"/>
      <c r="D170" s="154"/>
      <c r="E170" s="136"/>
      <c r="F170" s="136"/>
      <c r="G170" s="136"/>
      <c r="H170" s="136"/>
      <c r="I170" s="136"/>
      <c r="J170" s="136"/>
      <c r="K170" s="136"/>
      <c r="L170" s="136"/>
      <c r="M170" s="18"/>
    </row>
    <row r="171" ht="14.25" customHeight="1" thickBot="1"/>
    <row r="172" spans="1:12" ht="14.25" customHeight="1" thickBot="1">
      <c r="A172" s="182"/>
      <c r="B172" s="185" t="s">
        <v>173</v>
      </c>
      <c r="C172" s="186"/>
      <c r="D172" s="187" t="s">
        <v>174</v>
      </c>
      <c r="E172" s="85"/>
      <c r="F172" s="188" t="s">
        <v>8</v>
      </c>
      <c r="G172" s="189" t="s">
        <v>9</v>
      </c>
      <c r="H172" s="18"/>
      <c r="I172" s="190" t="s">
        <v>175</v>
      </c>
      <c r="J172" s="191"/>
      <c r="K172" s="191"/>
      <c r="L172" s="192"/>
    </row>
    <row r="173" spans="1:12" ht="14.25" customHeight="1">
      <c r="A173" s="182"/>
      <c r="B173" s="193" t="s">
        <v>176</v>
      </c>
      <c r="C173" s="194"/>
      <c r="D173" s="195"/>
      <c r="E173" s="196"/>
      <c r="F173" s="197"/>
      <c r="G173" s="198"/>
      <c r="H173" s="18"/>
      <c r="I173" s="199" t="s">
        <v>177</v>
      </c>
      <c r="J173" s="118"/>
      <c r="K173" s="118"/>
      <c r="L173" s="200" t="str">
        <f>C206</f>
        <v>-</v>
      </c>
    </row>
    <row r="174" spans="1:12" ht="14.25" customHeight="1">
      <c r="A174" s="182"/>
      <c r="B174" s="201" t="s">
        <v>178</v>
      </c>
      <c r="C174" s="202"/>
      <c r="D174" s="203" t="s">
        <v>179</v>
      </c>
      <c r="E174" s="204"/>
      <c r="F174" s="205" t="e">
        <f>C134</f>
        <v>#VALUE!</v>
      </c>
      <c r="G174" s="206">
        <f>E134</f>
        <v>0</v>
      </c>
      <c r="H174" s="207"/>
      <c r="I174" s="199" t="s">
        <v>180</v>
      </c>
      <c r="J174" s="18"/>
      <c r="K174" s="18"/>
      <c r="L174" s="200" t="str">
        <f>C207</f>
        <v>-</v>
      </c>
    </row>
    <row r="175" spans="1:12" ht="14.25" customHeight="1">
      <c r="A175" s="182"/>
      <c r="B175" s="201" t="s">
        <v>181</v>
      </c>
      <c r="C175" s="202"/>
      <c r="D175" s="208"/>
      <c r="E175" s="6"/>
      <c r="F175" s="209"/>
      <c r="G175" s="206"/>
      <c r="H175" s="207"/>
      <c r="I175" s="199" t="s">
        <v>182</v>
      </c>
      <c r="J175" s="18"/>
      <c r="K175" s="18"/>
      <c r="L175" s="210" t="str">
        <f>C209</f>
        <v>-</v>
      </c>
    </row>
    <row r="176" spans="1:12" ht="14.25" customHeight="1" thickBot="1">
      <c r="A176" s="182"/>
      <c r="B176" s="201" t="s">
        <v>183</v>
      </c>
      <c r="C176" s="202"/>
      <c r="D176" s="203" t="s">
        <v>184</v>
      </c>
      <c r="E176" s="204"/>
      <c r="F176" s="205" t="e">
        <f>D165</f>
        <v>#VALUE!</v>
      </c>
      <c r="G176" s="206">
        <f>E165</f>
        <v>0</v>
      </c>
      <c r="H176" s="207"/>
      <c r="I176" s="199" t="s">
        <v>185</v>
      </c>
      <c r="J176" s="18"/>
      <c r="K176" s="18"/>
      <c r="L176" s="211" t="str">
        <f>$C$208</f>
        <v>-</v>
      </c>
    </row>
    <row r="177" spans="1:12" ht="14.25" customHeight="1">
      <c r="A177" s="182"/>
      <c r="B177" s="212" t="s">
        <v>186</v>
      </c>
      <c r="C177" s="213"/>
      <c r="D177" s="208"/>
      <c r="E177" s="6"/>
      <c r="F177" s="209"/>
      <c r="G177" s="206"/>
      <c r="H177" s="207"/>
      <c r="I177" s="214" t="s">
        <v>187</v>
      </c>
      <c r="J177" s="215"/>
      <c r="K177" s="215"/>
      <c r="L177" s="216" t="e">
        <f>$L$173*$L$174*$L$175</f>
        <v>#VALUE!</v>
      </c>
    </row>
    <row r="178" spans="1:12" ht="14.25" customHeight="1" thickBot="1">
      <c r="A178" s="182"/>
      <c r="B178" s="217" t="s">
        <v>188</v>
      </c>
      <c r="C178" s="218"/>
      <c r="D178" s="203"/>
      <c r="E178" s="204"/>
      <c r="F178" s="219"/>
      <c r="G178" s="220"/>
      <c r="H178" s="207"/>
      <c r="I178" s="199" t="s">
        <v>189</v>
      </c>
      <c r="J178" s="18"/>
      <c r="K178" s="18"/>
      <c r="L178" s="221" t="e">
        <f>-L179*F208</f>
        <v>#VALUE!</v>
      </c>
    </row>
    <row r="179" spans="1:12" ht="14.25" customHeight="1" thickBot="1">
      <c r="A179" s="182"/>
      <c r="B179" s="208"/>
      <c r="C179" s="6"/>
      <c r="D179" s="222" t="s">
        <v>190</v>
      </c>
      <c r="E179" s="223"/>
      <c r="F179" s="224" t="e">
        <f>SUM(F174:F178)</f>
        <v>#VALUE!</v>
      </c>
      <c r="G179" s="225">
        <f>SUM(G174:G178)</f>
        <v>0</v>
      </c>
      <c r="H179" s="207"/>
      <c r="I179" s="199" t="s">
        <v>191</v>
      </c>
      <c r="J179" s="18"/>
      <c r="K179" s="18"/>
      <c r="L179" s="211" t="e">
        <f>$L$177*$L$176</f>
        <v>#VALUE!</v>
      </c>
    </row>
    <row r="180" spans="1:12" ht="14.25" customHeight="1">
      <c r="A180" s="182"/>
      <c r="B180" s="226" t="s">
        <v>192</v>
      </c>
      <c r="C180" s="227"/>
      <c r="D180" s="195" t="s">
        <v>193</v>
      </c>
      <c r="E180" s="228"/>
      <c r="F180" s="209" t="e">
        <f>$L$179</f>
        <v>#VALUE!</v>
      </c>
      <c r="G180" s="206"/>
      <c r="H180" s="207"/>
      <c r="I180" s="199" t="s">
        <v>194</v>
      </c>
      <c r="J180" s="18"/>
      <c r="K180" s="18"/>
      <c r="L180" s="211" t="e">
        <f>-SUM($L$179*$F$207)</f>
        <v>#VALUE!</v>
      </c>
    </row>
    <row r="181" spans="1:12" ht="14.25" customHeight="1">
      <c r="A181" s="182"/>
      <c r="B181" s="229" t="s">
        <v>195</v>
      </c>
      <c r="C181" s="230"/>
      <c r="D181" s="231" t="s">
        <v>196</v>
      </c>
      <c r="E181" s="232"/>
      <c r="F181" s="209" t="e">
        <f>$L$181</f>
        <v>#VALUE!</v>
      </c>
      <c r="G181" s="206"/>
      <c r="H181" s="207"/>
      <c r="I181" s="199" t="s">
        <v>196</v>
      </c>
      <c r="J181" s="18"/>
      <c r="K181" s="18"/>
      <c r="L181" s="233" t="e">
        <f>-SUM(($L$179-L180)*$C$210)</f>
        <v>#VALUE!</v>
      </c>
    </row>
    <row r="182" spans="1:12" ht="14.25" customHeight="1">
      <c r="A182" s="182"/>
      <c r="B182" s="229" t="s">
        <v>197</v>
      </c>
      <c r="C182" s="230"/>
      <c r="D182" s="231" t="s">
        <v>198</v>
      </c>
      <c r="E182" s="232"/>
      <c r="F182" s="209" t="e">
        <f>$L$180</f>
        <v>#VALUE!</v>
      </c>
      <c r="G182" s="206"/>
      <c r="H182" s="234"/>
      <c r="I182" s="214" t="s">
        <v>199</v>
      </c>
      <c r="J182" s="215"/>
      <c r="K182" s="215"/>
      <c r="L182" s="233" t="e">
        <f>SUM(L178:L181)</f>
        <v>#VALUE!</v>
      </c>
    </row>
    <row r="183" spans="1:8" ht="14.25" customHeight="1">
      <c r="A183" s="182"/>
      <c r="B183" s="229" t="s">
        <v>200</v>
      </c>
      <c r="C183" s="230"/>
      <c r="D183" s="231" t="s">
        <v>201</v>
      </c>
      <c r="E183" s="232"/>
      <c r="F183" s="209" t="e">
        <f>L178</f>
        <v>#VALUE!</v>
      </c>
      <c r="G183" s="206"/>
      <c r="H183" s="207"/>
    </row>
    <row r="184" spans="1:8" ht="14.25" customHeight="1">
      <c r="A184" s="182"/>
      <c r="B184" s="229" t="s">
        <v>202</v>
      </c>
      <c r="C184" s="230"/>
      <c r="D184" s="195" t="s">
        <v>203</v>
      </c>
      <c r="E184" s="196"/>
      <c r="F184" s="209">
        <v>0</v>
      </c>
      <c r="G184" s="206"/>
      <c r="H184" s="207"/>
    </row>
    <row r="185" spans="1:8" ht="14.25" customHeight="1">
      <c r="A185" s="182"/>
      <c r="B185" s="229" t="s">
        <v>204</v>
      </c>
      <c r="C185" s="230"/>
      <c r="D185" s="222" t="s">
        <v>205</v>
      </c>
      <c r="E185" s="223"/>
      <c r="F185" s="224" t="e">
        <f>SUM(F180:F184)</f>
        <v>#VALUE!</v>
      </c>
      <c r="G185" s="225">
        <f>SUM(G180:G184)</f>
        <v>0</v>
      </c>
      <c r="H185" s="234"/>
    </row>
    <row r="186" spans="1:11" ht="14.25" customHeight="1" thickBot="1">
      <c r="A186" s="182"/>
      <c r="B186" s="235" t="s">
        <v>206</v>
      </c>
      <c r="C186" s="236"/>
      <c r="D186" s="237" t="s">
        <v>207</v>
      </c>
      <c r="E186" s="238"/>
      <c r="F186" s="239" t="e">
        <f>F185-F179</f>
        <v>#VALUE!</v>
      </c>
      <c r="G186" s="240">
        <f>G185-G179</f>
        <v>0</v>
      </c>
      <c r="H186" s="241"/>
      <c r="I186" s="18"/>
      <c r="J186" s="18"/>
      <c r="K186" s="18"/>
    </row>
    <row r="187" spans="1:11" ht="14.25" customHeight="1">
      <c r="A187" s="18"/>
      <c r="F187" s="18"/>
      <c r="G187" s="207"/>
      <c r="H187" s="207"/>
      <c r="I187" s="18"/>
      <c r="J187" s="18"/>
      <c r="K187" s="18"/>
    </row>
    <row r="188" spans="2:5" ht="14.25" customHeight="1" thickBot="1">
      <c r="B188" s="242" t="s">
        <v>208</v>
      </c>
      <c r="C188" s="18"/>
      <c r="D188" s="242"/>
      <c r="E188" s="18"/>
    </row>
    <row r="189" spans="2:6" ht="14.25" customHeight="1">
      <c r="B189" s="243" t="s">
        <v>209</v>
      </c>
      <c r="C189" s="244"/>
      <c r="D189" s="243" t="s">
        <v>209</v>
      </c>
      <c r="E189" s="245"/>
      <c r="F189" s="246"/>
    </row>
    <row r="190" spans="2:6" ht="14.25" customHeight="1" thickBot="1">
      <c r="B190" s="425" t="s">
        <v>210</v>
      </c>
      <c r="C190" s="426"/>
      <c r="D190" s="425" t="s">
        <v>210</v>
      </c>
      <c r="E190" s="426"/>
      <c r="F190" s="427"/>
    </row>
    <row r="191" spans="2:6" ht="14.25" customHeight="1">
      <c r="B191" s="428" t="s">
        <v>211</v>
      </c>
      <c r="C191" s="429">
        <v>30</v>
      </c>
      <c r="D191" s="430" t="s">
        <v>212</v>
      </c>
      <c r="E191" s="336"/>
      <c r="F191" s="431">
        <v>40</v>
      </c>
    </row>
    <row r="192" spans="2:8" ht="14.25" customHeight="1">
      <c r="B192" s="247" t="s">
        <v>213</v>
      </c>
      <c r="C192" s="251" t="s">
        <v>357</v>
      </c>
      <c r="D192" s="249" t="s">
        <v>214</v>
      </c>
      <c r="E192" s="159"/>
      <c r="F192" s="250">
        <v>0.5</v>
      </c>
      <c r="G192" s="252"/>
      <c r="H192" s="252"/>
    </row>
    <row r="193" spans="2:8" ht="14.25" customHeight="1">
      <c r="B193" s="247" t="s">
        <v>216</v>
      </c>
      <c r="C193" s="248">
        <v>40</v>
      </c>
      <c r="D193" s="249" t="s">
        <v>217</v>
      </c>
      <c r="E193" s="159"/>
      <c r="F193" s="253">
        <v>0.1</v>
      </c>
      <c r="G193" s="252"/>
      <c r="H193" s="252"/>
    </row>
    <row r="194" spans="2:6" ht="14.25" customHeight="1">
      <c r="B194" s="247" t="s">
        <v>219</v>
      </c>
      <c r="C194" s="254">
        <v>0.15</v>
      </c>
      <c r="D194" s="249" t="s">
        <v>220</v>
      </c>
      <c r="E194" s="159"/>
      <c r="F194" s="253">
        <v>0.08</v>
      </c>
    </row>
    <row r="195" spans="2:6" ht="14.25" customHeight="1">
      <c r="B195" s="247" t="s">
        <v>221</v>
      </c>
      <c r="C195" s="254">
        <v>0.05</v>
      </c>
      <c r="D195" s="249" t="s">
        <v>222</v>
      </c>
      <c r="E195" s="159"/>
      <c r="F195" s="253">
        <v>0.05</v>
      </c>
    </row>
    <row r="196" spans="2:6" ht="14.25" customHeight="1">
      <c r="B196" s="247" t="s">
        <v>223</v>
      </c>
      <c r="C196" s="251">
        <v>0</v>
      </c>
      <c r="D196" s="249" t="s">
        <v>224</v>
      </c>
      <c r="E196" s="159"/>
      <c r="F196" s="250">
        <v>375</v>
      </c>
    </row>
    <row r="197" spans="2:6" ht="14.25" customHeight="1">
      <c r="B197" s="247" t="s">
        <v>225</v>
      </c>
      <c r="C197" s="251">
        <v>0</v>
      </c>
      <c r="D197" s="249" t="s">
        <v>226</v>
      </c>
      <c r="E197" s="159"/>
      <c r="F197" s="250">
        <v>375</v>
      </c>
    </row>
    <row r="198" spans="2:6" ht="14.25" customHeight="1">
      <c r="B198" s="247" t="s">
        <v>227</v>
      </c>
      <c r="C198" s="251">
        <v>0</v>
      </c>
      <c r="D198" s="249" t="s">
        <v>228</v>
      </c>
      <c r="E198" s="159"/>
      <c r="F198" s="250">
        <v>12</v>
      </c>
    </row>
    <row r="199" spans="2:6" ht="14.25" customHeight="1">
      <c r="B199" s="247" t="s">
        <v>229</v>
      </c>
      <c r="C199" s="248">
        <v>460</v>
      </c>
      <c r="D199" s="249" t="s">
        <v>230</v>
      </c>
      <c r="E199" s="159"/>
      <c r="F199" s="250">
        <v>500</v>
      </c>
    </row>
    <row r="200" spans="2:6" ht="14.25" customHeight="1">
      <c r="B200" s="247" t="s">
        <v>231</v>
      </c>
      <c r="C200" s="248">
        <v>460</v>
      </c>
      <c r="D200" s="249" t="s">
        <v>48</v>
      </c>
      <c r="E200" s="159"/>
      <c r="F200" s="250">
        <v>150</v>
      </c>
    </row>
    <row r="201" spans="2:6" ht="14.25" customHeight="1">
      <c r="B201" s="255" t="s">
        <v>232</v>
      </c>
      <c r="C201" s="251" t="s">
        <v>357</v>
      </c>
      <c r="D201" s="249" t="s">
        <v>233</v>
      </c>
      <c r="E201" s="159"/>
      <c r="F201" s="250">
        <v>150</v>
      </c>
    </row>
    <row r="202" spans="2:9" ht="14.25" customHeight="1">
      <c r="B202" s="255" t="s">
        <v>234</v>
      </c>
      <c r="C202" s="251" t="s">
        <v>357</v>
      </c>
      <c r="D202" s="249" t="s">
        <v>235</v>
      </c>
      <c r="E202" s="159"/>
      <c r="F202" s="256">
        <v>1</v>
      </c>
      <c r="I202" s="17">
        <v>0</v>
      </c>
    </row>
    <row r="203" spans="2:6" ht="14.25" customHeight="1">
      <c r="B203" s="255" t="s">
        <v>236</v>
      </c>
      <c r="C203" s="251" t="s">
        <v>357</v>
      </c>
      <c r="D203" s="249" t="s">
        <v>237</v>
      </c>
      <c r="E203" s="159"/>
      <c r="F203" s="250">
        <v>175</v>
      </c>
    </row>
    <row r="204" spans="2:6" ht="14.25" customHeight="1">
      <c r="B204" s="255" t="s">
        <v>238</v>
      </c>
      <c r="C204" s="251" t="s">
        <v>357</v>
      </c>
      <c r="D204" s="249" t="s">
        <v>239</v>
      </c>
      <c r="E204" s="159"/>
      <c r="F204" s="257">
        <v>0.0833</v>
      </c>
    </row>
    <row r="205" spans="2:6" ht="14.25" customHeight="1">
      <c r="B205" s="255" t="s">
        <v>240</v>
      </c>
      <c r="C205" s="251" t="s">
        <v>357</v>
      </c>
      <c r="D205" s="249" t="s">
        <v>241</v>
      </c>
      <c r="E205" s="159"/>
      <c r="F205" s="257">
        <v>0.128</v>
      </c>
    </row>
    <row r="206" spans="2:6" ht="14.25" customHeight="1">
      <c r="B206" s="255" t="s">
        <v>242</v>
      </c>
      <c r="C206" s="251" t="s">
        <v>357</v>
      </c>
      <c r="D206" s="249" t="s">
        <v>243</v>
      </c>
      <c r="E206" s="159"/>
      <c r="F206" s="250">
        <v>87</v>
      </c>
    </row>
    <row r="207" spans="2:6" ht="14.25" customHeight="1">
      <c r="B207" s="255" t="s">
        <v>244</v>
      </c>
      <c r="C207" s="251" t="s">
        <v>357</v>
      </c>
      <c r="D207" s="249" t="s">
        <v>245</v>
      </c>
      <c r="E207" s="159"/>
      <c r="F207" s="257">
        <v>0.03</v>
      </c>
    </row>
    <row r="208" spans="2:6" ht="14.25" customHeight="1">
      <c r="B208" s="255" t="s">
        <v>246</v>
      </c>
      <c r="C208" s="248" t="s">
        <v>357</v>
      </c>
      <c r="D208" s="249" t="s">
        <v>189</v>
      </c>
      <c r="E208" s="249"/>
      <c r="F208" s="258">
        <v>0.05</v>
      </c>
    </row>
    <row r="209" spans="2:6" ht="14.25" customHeight="1">
      <c r="B209" s="255" t="s">
        <v>247</v>
      </c>
      <c r="C209" s="254" t="s">
        <v>357</v>
      </c>
      <c r="D209" s="249" t="s">
        <v>248</v>
      </c>
      <c r="E209" s="249"/>
      <c r="F209" s="259">
        <v>0</v>
      </c>
    </row>
    <row r="210" spans="2:6" ht="14.25" customHeight="1">
      <c r="B210" s="255" t="s">
        <v>249</v>
      </c>
      <c r="C210" s="260" t="s">
        <v>357</v>
      </c>
      <c r="D210" s="184" t="s">
        <v>250</v>
      </c>
      <c r="E210" s="184"/>
      <c r="F210" s="261">
        <v>60</v>
      </c>
    </row>
    <row r="211" spans="2:6" ht="14.25" customHeight="1">
      <c r="B211" s="255" t="s">
        <v>251</v>
      </c>
      <c r="C211" s="248">
        <v>90</v>
      </c>
      <c r="D211" s="184" t="s">
        <v>252</v>
      </c>
      <c r="E211" s="184"/>
      <c r="F211" s="259">
        <v>0</v>
      </c>
    </row>
    <row r="212" spans="2:6" ht="14.25" customHeight="1">
      <c r="B212" s="255" t="s">
        <v>253</v>
      </c>
      <c r="C212" s="254">
        <v>0.05</v>
      </c>
      <c r="D212" s="263" t="s">
        <v>254</v>
      </c>
      <c r="E212" s="264"/>
      <c r="F212" s="259">
        <v>0</v>
      </c>
    </row>
    <row r="213" spans="2:6" ht="14.25" customHeight="1">
      <c r="B213" s="255" t="s">
        <v>255</v>
      </c>
      <c r="C213" s="254">
        <v>0.05</v>
      </c>
      <c r="D213" s="161" t="s">
        <v>256</v>
      </c>
      <c r="E213" s="18"/>
      <c r="F213" s="258">
        <v>0.05</v>
      </c>
    </row>
    <row r="214" spans="2:6" ht="14.25" customHeight="1">
      <c r="B214" s="255" t="s">
        <v>257</v>
      </c>
      <c r="C214" s="248">
        <v>70</v>
      </c>
      <c r="D214" s="161" t="s">
        <v>258</v>
      </c>
      <c r="E214" s="18"/>
      <c r="F214" s="423">
        <v>150</v>
      </c>
    </row>
    <row r="215" spans="1:9" ht="14.25" customHeight="1">
      <c r="A215" s="265"/>
      <c r="B215" s="432" t="s">
        <v>259</v>
      </c>
      <c r="C215" s="424">
        <v>10</v>
      </c>
      <c r="D215" s="407" t="s">
        <v>260</v>
      </c>
      <c r="E215" s="407"/>
      <c r="F215" s="433">
        <v>350</v>
      </c>
      <c r="G215" s="265"/>
      <c r="H215" s="265"/>
      <c r="I215" s="265"/>
    </row>
    <row r="216" spans="1:9" ht="14.25" customHeight="1" thickBot="1">
      <c r="A216" s="265"/>
      <c r="B216" s="434" t="s">
        <v>402</v>
      </c>
      <c r="C216" s="436">
        <v>0.015</v>
      </c>
      <c r="D216" s="267"/>
      <c r="E216" s="267"/>
      <c r="F216" s="435"/>
      <c r="G216" s="265"/>
      <c r="H216" s="265"/>
      <c r="I216" s="265"/>
    </row>
    <row r="217" spans="1:9" ht="14.25" customHeight="1">
      <c r="A217" s="265"/>
      <c r="B217" s="265"/>
      <c r="C217" s="265"/>
      <c r="D217" s="265"/>
      <c r="E217" s="265"/>
      <c r="F217" s="265"/>
      <c r="G217" s="265"/>
      <c r="H217" s="265"/>
      <c r="I217" s="265"/>
    </row>
    <row r="218" spans="1:9" ht="14.25" customHeight="1">
      <c r="A218" s="265"/>
      <c r="B218" s="268" t="s">
        <v>261</v>
      </c>
      <c r="C218" s="265"/>
      <c r="D218" s="265"/>
      <c r="E218" s="265"/>
      <c r="F218" s="265"/>
      <c r="G218" s="265"/>
      <c r="H218" s="265"/>
      <c r="I218" s="265"/>
    </row>
    <row r="219" spans="1:9" ht="14.25" customHeight="1">
      <c r="A219" s="265"/>
      <c r="B219" s="269"/>
      <c r="C219" s="265"/>
      <c r="D219" s="265"/>
      <c r="E219" s="265"/>
      <c r="F219" s="265"/>
      <c r="G219" s="265"/>
      <c r="H219" s="265"/>
      <c r="I219" s="265"/>
    </row>
    <row r="220" spans="1:9" ht="14.25" customHeight="1">
      <c r="A220" s="265"/>
      <c r="B220" s="268"/>
      <c r="C220" s="265"/>
      <c r="D220" s="265"/>
      <c r="E220" s="265"/>
      <c r="F220" s="265"/>
      <c r="G220" s="265"/>
      <c r="H220" s="265"/>
      <c r="I220" s="265"/>
    </row>
    <row r="221" spans="1:9" ht="14.25" customHeight="1">
      <c r="A221" s="265"/>
      <c r="B221" s="265"/>
      <c r="C221" s="270"/>
      <c r="D221" s="270"/>
      <c r="E221" s="270"/>
      <c r="F221" s="271" t="s">
        <v>8</v>
      </c>
      <c r="G221" s="272" t="s">
        <v>262</v>
      </c>
      <c r="H221" s="265"/>
      <c r="I221" s="265"/>
    </row>
    <row r="222" spans="1:9" ht="14.25" customHeight="1">
      <c r="A222" s="273" t="s">
        <v>263</v>
      </c>
      <c r="B222" s="265"/>
      <c r="C222" s="270"/>
      <c r="D222" s="270" t="s">
        <v>264</v>
      </c>
      <c r="E222" s="270"/>
      <c r="F222" s="270" t="e">
        <f>F180+F182+F183</f>
        <v>#VALUE!</v>
      </c>
      <c r="G222" s="274">
        <f>G180+G182+G183</f>
        <v>0</v>
      </c>
      <c r="H222" s="265"/>
      <c r="I222" s="265"/>
    </row>
    <row r="223" spans="1:9" ht="14.25" customHeight="1">
      <c r="A223" s="265"/>
      <c r="B223" s="273"/>
      <c r="C223" s="270"/>
      <c r="D223" s="270" t="s">
        <v>265</v>
      </c>
      <c r="E223" s="270"/>
      <c r="F223" s="270">
        <f>F184</f>
        <v>0</v>
      </c>
      <c r="G223" s="274">
        <f>G184</f>
        <v>0</v>
      </c>
      <c r="H223" s="265"/>
      <c r="I223" s="265"/>
    </row>
    <row r="224" spans="1:9" ht="14.25" customHeight="1">
      <c r="A224" s="265"/>
      <c r="B224" s="265"/>
      <c r="C224" s="270"/>
      <c r="D224" s="270" t="s">
        <v>266</v>
      </c>
      <c r="E224" s="270"/>
      <c r="F224" s="270" t="e">
        <f>F181</f>
        <v>#VALUE!</v>
      </c>
      <c r="G224" s="274">
        <f>G181</f>
        <v>0</v>
      </c>
      <c r="H224" s="265"/>
      <c r="I224" s="265"/>
    </row>
    <row r="225" spans="1:9" ht="14.25" customHeight="1">
      <c r="A225" s="265"/>
      <c r="B225" s="265"/>
      <c r="C225" s="270"/>
      <c r="D225" s="275" t="s">
        <v>191</v>
      </c>
      <c r="E225" s="276"/>
      <c r="F225" s="277" t="e">
        <f>SUM(F222:F224)</f>
        <v>#VALUE!</v>
      </c>
      <c r="G225" s="278">
        <f>SUM(G222:G224)</f>
        <v>0</v>
      </c>
      <c r="H225" s="265"/>
      <c r="I225" s="265"/>
    </row>
    <row r="226" spans="1:9" ht="14.25" customHeight="1">
      <c r="A226" s="265"/>
      <c r="B226" s="265"/>
      <c r="C226" s="270"/>
      <c r="D226" s="270"/>
      <c r="E226" s="270"/>
      <c r="F226" s="270"/>
      <c r="G226" s="274"/>
      <c r="H226" s="265"/>
      <c r="I226" s="265"/>
    </row>
    <row r="227" spans="1:9" ht="14.25" customHeight="1">
      <c r="A227" s="273" t="s">
        <v>267</v>
      </c>
      <c r="B227" s="265"/>
      <c r="C227" s="270"/>
      <c r="D227" s="270"/>
      <c r="E227" s="270"/>
      <c r="F227" s="270"/>
      <c r="G227" s="274"/>
      <c r="H227" s="265"/>
      <c r="I227" s="265"/>
    </row>
    <row r="228" spans="1:9" ht="14.25" customHeight="1">
      <c r="A228" s="273"/>
      <c r="B228" s="265"/>
      <c r="C228" s="270" t="s">
        <v>268</v>
      </c>
      <c r="D228" s="270"/>
      <c r="E228" s="270"/>
      <c r="F228" s="270">
        <f>I65</f>
        <v>31200</v>
      </c>
      <c r="G228" s="274">
        <f>K65</f>
        <v>0</v>
      </c>
      <c r="H228" s="265"/>
      <c r="I228" s="265"/>
    </row>
    <row r="229" spans="1:9" ht="14.25" customHeight="1">
      <c r="A229" s="265"/>
      <c r="B229" s="265"/>
      <c r="C229" s="270" t="s">
        <v>269</v>
      </c>
      <c r="D229" s="270"/>
      <c r="E229" s="270"/>
      <c r="F229" s="270" t="e">
        <f>G17+G25</f>
        <v>#VALUE!</v>
      </c>
      <c r="G229" s="274">
        <f>H17+H25</f>
        <v>0</v>
      </c>
      <c r="H229" s="265"/>
      <c r="I229" s="265"/>
    </row>
    <row r="230" spans="1:9" ht="14.25" customHeight="1">
      <c r="A230" s="265"/>
      <c r="B230" s="265"/>
      <c r="C230" s="270" t="s">
        <v>270</v>
      </c>
      <c r="D230" s="270"/>
      <c r="E230" s="270"/>
      <c r="F230" s="270">
        <f>SUM(C75:D115)+G38+G43</f>
        <v>0</v>
      </c>
      <c r="G230" s="274">
        <f>SUM(E75:E115)+H38+H43</f>
        <v>0</v>
      </c>
      <c r="H230" s="265"/>
      <c r="I230" s="265"/>
    </row>
    <row r="231" spans="1:9" ht="14.25" customHeight="1">
      <c r="A231" s="265"/>
      <c r="B231" s="265"/>
      <c r="C231" s="270" t="s">
        <v>271</v>
      </c>
      <c r="D231" s="270"/>
      <c r="E231" s="270"/>
      <c r="F231" s="270" t="e">
        <f>G32</f>
        <v>#VALUE!</v>
      </c>
      <c r="G231" s="274">
        <f>H32</f>
        <v>0</v>
      </c>
      <c r="H231" s="265"/>
      <c r="I231" s="265"/>
    </row>
    <row r="232" spans="1:9" ht="14.25" customHeight="1">
      <c r="A232" s="265"/>
      <c r="B232" s="265"/>
      <c r="C232" s="270" t="s">
        <v>272</v>
      </c>
      <c r="D232" s="270"/>
      <c r="E232" s="270"/>
      <c r="F232" s="270" t="e">
        <f>SUM(C118:D120)</f>
        <v>#VALUE!</v>
      </c>
      <c r="G232" s="274">
        <f>SUM(E118:E119)</f>
        <v>0</v>
      </c>
      <c r="H232" s="265"/>
      <c r="I232" s="265"/>
    </row>
    <row r="233" spans="1:9" ht="14.25" customHeight="1">
      <c r="A233" s="265"/>
      <c r="B233" s="265"/>
      <c r="C233" s="270" t="s">
        <v>273</v>
      </c>
      <c r="D233" s="270"/>
      <c r="E233" s="270"/>
      <c r="F233" s="270">
        <f>C121+SUM(C131:D133)</f>
        <v>1700</v>
      </c>
      <c r="G233" s="274">
        <f>E121+SUM(E131:E133)</f>
        <v>0</v>
      </c>
      <c r="H233" s="265"/>
      <c r="I233" s="265"/>
    </row>
    <row r="234" spans="1:9" ht="14.25" customHeight="1">
      <c r="A234" s="265"/>
      <c r="B234" s="265"/>
      <c r="C234" s="270" t="s">
        <v>274</v>
      </c>
      <c r="D234" s="270"/>
      <c r="E234" s="270"/>
      <c r="F234" s="270">
        <f>SUM(C126:D130)</f>
        <v>1750</v>
      </c>
      <c r="G234" s="274">
        <f>SUM(E126:E130)</f>
        <v>0</v>
      </c>
      <c r="H234" s="265"/>
      <c r="I234" s="265"/>
    </row>
    <row r="235" spans="1:9" ht="14.25" customHeight="1">
      <c r="A235" s="265"/>
      <c r="B235" s="265"/>
      <c r="C235" s="270" t="s">
        <v>275</v>
      </c>
      <c r="D235" s="270"/>
      <c r="E235" s="270"/>
      <c r="F235" s="270">
        <f>SUM(C123:D124)</f>
        <v>0</v>
      </c>
      <c r="G235" s="274">
        <f>SUM(E123:E124)</f>
        <v>0</v>
      </c>
      <c r="H235" s="265"/>
      <c r="I235" s="265"/>
    </row>
    <row r="236" spans="1:9" ht="14.25" customHeight="1">
      <c r="A236" s="265"/>
      <c r="B236" s="265"/>
      <c r="C236" s="270"/>
      <c r="D236" s="270"/>
      <c r="E236" s="270"/>
      <c r="F236" s="277" t="e">
        <f>SUM(F228:F235)</f>
        <v>#VALUE!</v>
      </c>
      <c r="G236" s="278">
        <f>SUM(G228:G235)</f>
        <v>0</v>
      </c>
      <c r="H236" s="265"/>
      <c r="I236" s="265"/>
    </row>
    <row r="237" spans="1:9" ht="14.25" customHeight="1">
      <c r="A237" s="265"/>
      <c r="B237" s="265"/>
      <c r="C237" s="270"/>
      <c r="D237" s="270"/>
      <c r="E237" s="270"/>
      <c r="F237" s="270"/>
      <c r="G237" s="274"/>
      <c r="H237" s="265"/>
      <c r="I237" s="265"/>
    </row>
    <row r="238" spans="1:9" ht="14.25" customHeight="1">
      <c r="A238" s="273" t="s">
        <v>276</v>
      </c>
      <c r="B238" s="265"/>
      <c r="C238" s="270"/>
      <c r="D238" s="270"/>
      <c r="E238" s="270"/>
      <c r="F238" s="270"/>
      <c r="G238" s="274"/>
      <c r="H238" s="265"/>
      <c r="I238" s="265"/>
    </row>
    <row r="239" spans="1:9" ht="14.25" customHeight="1">
      <c r="A239" s="265"/>
      <c r="B239" s="265"/>
      <c r="C239" s="270" t="s">
        <v>269</v>
      </c>
      <c r="D239" s="270"/>
      <c r="E239" s="270"/>
      <c r="F239" s="270" t="e">
        <f>K17+K25</f>
        <v>#VALUE!</v>
      </c>
      <c r="G239" s="274">
        <f>L17+L25</f>
        <v>0</v>
      </c>
      <c r="H239" s="265"/>
      <c r="I239" s="265"/>
    </row>
    <row r="240" spans="1:9" ht="14.25" customHeight="1">
      <c r="A240" s="265"/>
      <c r="B240" s="265"/>
      <c r="C240" s="270" t="s">
        <v>277</v>
      </c>
      <c r="D240" s="270"/>
      <c r="E240" s="270"/>
      <c r="F240" s="270" t="e">
        <f>K32+K38+K43</f>
        <v>#VALUE!</v>
      </c>
      <c r="G240" s="274">
        <f>L32+L38+L43</f>
        <v>0</v>
      </c>
      <c r="H240" s="265"/>
      <c r="I240" s="265"/>
    </row>
    <row r="241" spans="1:9" ht="14.25" customHeight="1">
      <c r="A241" s="265"/>
      <c r="B241" s="265"/>
      <c r="C241" s="270" t="s">
        <v>156</v>
      </c>
      <c r="D241" s="270"/>
      <c r="E241" s="270"/>
      <c r="F241" s="270" t="e">
        <f>SUM(D146:D158)</f>
        <v>#VALUE!</v>
      </c>
      <c r="G241" s="274">
        <f>SUM(E146:E158)</f>
        <v>0</v>
      </c>
      <c r="H241" s="265"/>
      <c r="I241" s="265"/>
    </row>
    <row r="242" spans="1:9" ht="14.25" customHeight="1">
      <c r="A242" s="265"/>
      <c r="B242" s="265"/>
      <c r="C242" s="270" t="s">
        <v>278</v>
      </c>
      <c r="D242" s="270"/>
      <c r="E242" s="270"/>
      <c r="F242" s="270" t="e">
        <f>SUM(D160:D164)</f>
        <v>#VALUE!</v>
      </c>
      <c r="G242" s="274">
        <f>SUM(E160:E164)</f>
        <v>0</v>
      </c>
      <c r="H242" s="265"/>
      <c r="I242" s="265"/>
    </row>
    <row r="243" spans="1:9" ht="14.25" customHeight="1">
      <c r="A243" s="265"/>
      <c r="B243" s="265"/>
      <c r="C243" s="270"/>
      <c r="D243" s="270"/>
      <c r="E243" s="270"/>
      <c r="F243" s="277" t="e">
        <f>SUM(F239:F242)</f>
        <v>#VALUE!</v>
      </c>
      <c r="G243" s="278">
        <f>SUM(G239:G242)</f>
        <v>0</v>
      </c>
      <c r="H243" s="265"/>
      <c r="I243" s="265"/>
    </row>
    <row r="244" spans="1:9" ht="14.25" customHeight="1">
      <c r="A244" s="265"/>
      <c r="B244" s="265"/>
      <c r="C244" s="270"/>
      <c r="D244" s="270"/>
      <c r="E244" s="270"/>
      <c r="F244" s="270"/>
      <c r="G244" s="274"/>
      <c r="H244" s="265"/>
      <c r="I244" s="265"/>
    </row>
    <row r="245" spans="1:9" ht="14.25" customHeight="1" thickBot="1">
      <c r="A245" s="265"/>
      <c r="B245" s="265"/>
      <c r="C245" s="279" t="s">
        <v>358</v>
      </c>
      <c r="D245" s="270"/>
      <c r="E245" s="270"/>
      <c r="F245" s="280" t="e">
        <f>F225-F236-F243</f>
        <v>#VALUE!</v>
      </c>
      <c r="G245" s="281">
        <f>G225-G236-G243</f>
        <v>0</v>
      </c>
      <c r="H245" s="265"/>
      <c r="I245" s="265"/>
    </row>
    <row r="246" spans="1:9" ht="14.25" customHeight="1">
      <c r="A246" s="265"/>
      <c r="B246" s="265"/>
      <c r="C246" s="265"/>
      <c r="D246" s="265"/>
      <c r="E246" s="265"/>
      <c r="F246" s="265"/>
      <c r="G246" s="265"/>
      <c r="H246" s="265"/>
      <c r="I246" s="265"/>
    </row>
    <row r="247" spans="1:9" ht="14.25" customHeight="1">
      <c r="A247" s="265"/>
      <c r="B247" s="265"/>
      <c r="C247" s="282" t="s">
        <v>359</v>
      </c>
      <c r="D247" s="265"/>
      <c r="E247" s="265"/>
      <c r="F247" s="265"/>
      <c r="G247" s="265"/>
      <c r="H247" s="265"/>
      <c r="I247" s="265"/>
    </row>
    <row r="248" spans="1:9" ht="14.25" customHeight="1">
      <c r="A248" s="265"/>
      <c r="B248" s="265"/>
      <c r="C248" s="265"/>
      <c r="D248" s="265"/>
      <c r="E248" s="265"/>
      <c r="F248" s="265"/>
      <c r="G248" s="265"/>
      <c r="H248" s="265"/>
      <c r="I248" s="265"/>
    </row>
    <row r="249" spans="1:9" ht="14.25" customHeight="1">
      <c r="A249" s="265"/>
      <c r="B249" s="265"/>
      <c r="C249" s="279" t="s">
        <v>360</v>
      </c>
      <c r="D249" s="265"/>
      <c r="E249" s="265"/>
      <c r="F249" s="265"/>
      <c r="G249" s="265">
        <f>G245+G247</f>
        <v>0</v>
      </c>
      <c r="H249" s="265"/>
      <c r="I249" s="265"/>
    </row>
  </sheetData>
  <sheetProtection/>
  <printOptions/>
  <pageMargins left="0.75" right="0.75" top="1" bottom="1" header="0.5" footer="0.5"/>
  <pageSetup horizontalDpi="300" verticalDpi="300" orientation="portrait" paperSize="9" scale="65"/>
  <rowBreaks count="3" manualBreakCount="3">
    <brk id="66" max="11" man="1"/>
    <brk id="134" max="11" man="1"/>
    <brk id="1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henrid</dc:creator>
  <cp:keywords/>
  <dc:description/>
  <cp:lastModifiedBy>Alvisl</cp:lastModifiedBy>
  <cp:lastPrinted>2012-11-14T15:53:24Z</cp:lastPrinted>
  <dcterms:created xsi:type="dcterms:W3CDTF">2007-10-01T18:53:04Z</dcterms:created>
  <dcterms:modified xsi:type="dcterms:W3CDTF">2016-07-08T17:03:27Z</dcterms:modified>
  <cp:category/>
  <cp:version/>
  <cp:contentType/>
  <cp:contentStatus/>
</cp:coreProperties>
</file>