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5" yWindow="75" windowWidth="15270" windowHeight="126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102" i="1" l="1"/>
  <c r="C103" i="1"/>
  <c r="C100" i="1"/>
  <c r="C105" i="1" l="1"/>
  <c r="C82" i="1" l="1"/>
  <c r="C72" i="1"/>
  <c r="C64" i="1"/>
  <c r="C52" i="1"/>
  <c r="C42" i="1"/>
  <c r="C34" i="1"/>
  <c r="C18" i="1"/>
  <c r="C63" i="1" l="1"/>
  <c r="C33" i="1"/>
  <c r="C94" i="1"/>
  <c r="C59" i="1"/>
  <c r="C29" i="1"/>
  <c r="C76" i="1"/>
  <c r="C75" i="1"/>
  <c r="C69" i="1"/>
  <c r="C67" i="1"/>
  <c r="C77" i="1"/>
  <c r="C71" i="1"/>
  <c r="C70" i="1"/>
  <c r="C68" i="1"/>
  <c r="C60" i="1"/>
  <c r="C95" i="1"/>
  <c r="C84" i="1" l="1"/>
  <c r="C85" i="1" s="1"/>
  <c r="C30" i="1" l="1"/>
  <c r="C93" i="1"/>
  <c r="C37" i="1"/>
  <c r="C92" i="1"/>
  <c r="C91" i="1"/>
  <c r="C90" i="1"/>
  <c r="C46" i="1"/>
  <c r="C45" i="1"/>
  <c r="C39" i="1"/>
  <c r="C23" i="1"/>
  <c r="C24" i="1" s="1"/>
  <c r="C22" i="1"/>
  <c r="J23" i="1"/>
  <c r="J24" i="1" s="1"/>
  <c r="H23" i="1"/>
  <c r="H24" i="1" s="1"/>
  <c r="F23" i="1"/>
  <c r="F24" i="1" s="1"/>
  <c r="F22" i="1"/>
  <c r="F25" i="1" s="1"/>
  <c r="J22" i="1"/>
  <c r="J25" i="1" s="1"/>
  <c r="C25" i="1" l="1"/>
  <c r="C26" i="1"/>
  <c r="C6" i="1" s="1"/>
  <c r="C9" i="1" s="1"/>
  <c r="F26" i="1"/>
  <c r="C41" i="1"/>
  <c r="C40" i="1"/>
  <c r="C47" i="1"/>
  <c r="C89" i="1"/>
  <c r="C38" i="1"/>
  <c r="C96" i="1" l="1"/>
  <c r="C8" i="1" s="1"/>
  <c r="C5" i="1"/>
  <c r="J26" i="1"/>
  <c r="C54" i="1" l="1"/>
  <c r="C55" i="1" s="1"/>
  <c r="J9" i="1"/>
  <c r="J10" i="1" s="1"/>
  <c r="J11" i="1" s="1"/>
  <c r="C56" i="1" l="1"/>
  <c r="C7" i="1" l="1"/>
  <c r="C10" i="1" l="1"/>
  <c r="C11" i="1" s="1"/>
  <c r="H22" i="1"/>
  <c r="H25" i="1" l="1"/>
  <c r="H26" i="1" s="1"/>
</calcChain>
</file>

<file path=xl/sharedStrings.xml><?xml version="1.0" encoding="utf-8"?>
<sst xmlns="http://schemas.openxmlformats.org/spreadsheetml/2006/main" count="166" uniqueCount="95">
  <si>
    <t>Network Neighbourhood Touring</t>
  </si>
  <si>
    <t>Budget Outline</t>
  </si>
  <si>
    <t>Development</t>
  </si>
  <si>
    <t xml:space="preserve">Festival Production </t>
  </si>
  <si>
    <t>Sub-Total</t>
  </si>
  <si>
    <t xml:space="preserve">Sub-Total Technical </t>
  </si>
  <si>
    <t>Crew - 2 crew; 10 days @ £120</t>
  </si>
  <si>
    <t>Sub-Total Festival Staff</t>
  </si>
  <si>
    <t xml:space="preserve">Festival Programming Fees - all inc </t>
  </si>
  <si>
    <t>Core NNT Team</t>
  </si>
  <si>
    <t>Sub-total</t>
  </si>
  <si>
    <t>Festival MarComms &amp; Box Office</t>
  </si>
  <si>
    <t xml:space="preserve">Marketing Campaign </t>
  </si>
  <si>
    <t>Remote Box Office Set-Up</t>
  </si>
  <si>
    <t>FOH Manager - 10 days @ £80</t>
  </si>
  <si>
    <t>PROJECTED BOX OFFICE INCOME</t>
  </si>
  <si>
    <t>Production</t>
  </si>
  <si>
    <t>Av Net Tkt Price</t>
  </si>
  <si>
    <t>Attendance</t>
  </si>
  <si>
    <t>Totals</t>
  </si>
  <si>
    <t>Net Box Office Income</t>
  </si>
  <si>
    <t>FOH &amp; Box Office Team - 2 people, 10 days @ £40 per session</t>
  </si>
  <si>
    <t>Summary Expenditure</t>
  </si>
  <si>
    <t>Summary Income</t>
  </si>
  <si>
    <t>NNT Core Team</t>
  </si>
  <si>
    <t xml:space="preserve">Venue Hire </t>
  </si>
  <si>
    <t>Programme Consultant / Promoter Liaison - monthly programming meetings - 1 year</t>
  </si>
  <si>
    <t>Photography / Filming / Documenting</t>
  </si>
  <si>
    <t xml:space="preserve">Funding - ACE Strategic Touring </t>
  </si>
  <si>
    <t>Box Office Earned Income</t>
  </si>
  <si>
    <t>Performances/ Events</t>
  </si>
  <si>
    <t>May Festival</t>
  </si>
  <si>
    <t>October Festival</t>
  </si>
  <si>
    <t>February '18 Festival</t>
  </si>
  <si>
    <t xml:space="preserve">February '17 Festival </t>
  </si>
  <si>
    <t>Core Marketing, Brand Dev; Venue Dressing Kits; Templates; Signage</t>
  </si>
  <si>
    <t>Core Marketing Campaigns, Graphic Design</t>
  </si>
  <si>
    <t xml:space="preserve">Evaluation </t>
  </si>
  <si>
    <t>MODEL: FOUR FESTIVALS IN THREE AREAS</t>
  </si>
  <si>
    <t>Local Marketing &amp; Engagement Manager - 10 days @ £150</t>
  </si>
  <si>
    <t>Transport</t>
  </si>
  <si>
    <t>Total for One Festival in One Areas</t>
  </si>
  <si>
    <t>Total for One Festival in Three Areas</t>
  </si>
  <si>
    <t>Sub-Total Programme Fees</t>
  </si>
  <si>
    <t>Project Administrator - 18 months - 0.6 average</t>
  </si>
  <si>
    <t>Insurance, Licences, Finance Administration</t>
  </si>
  <si>
    <t>Festival Programme</t>
  </si>
  <si>
    <t xml:space="preserve">Total Expenditure </t>
  </si>
  <si>
    <t>Total Income</t>
  </si>
  <si>
    <t>Dressing Room / Green Room Set Up / Artist Liaison</t>
  </si>
  <si>
    <t>Venue Technical Hires  - 10 days @ £700</t>
  </si>
  <si>
    <t>Balance</t>
  </si>
  <si>
    <t>Access performances</t>
  </si>
  <si>
    <t>Local Technical Apprentice - 12 days @ £50</t>
  </si>
  <si>
    <t>Local Marketing &amp; Engagement Apprentice - 10 days @ £50</t>
  </si>
  <si>
    <t xml:space="preserve">Venue Partner Network Go &amp; See Costs </t>
  </si>
  <si>
    <t>NNT Local Programming Team Support</t>
  </si>
  <si>
    <t>Venue Programming Teams support 18 months</t>
  </si>
  <si>
    <t>Programme Director - Expenses - 18 month</t>
  </si>
  <si>
    <t>Local Duty Tech Manager - 10 days @ £150</t>
  </si>
  <si>
    <t>Local Technical Apprentice - 10 days @ £50</t>
  </si>
  <si>
    <t>Local Marketing &amp; Engagement Manager - 8 days @ £150</t>
  </si>
  <si>
    <t>Local Marketing &amp; Engagement Apprentice - 8 days @ £50</t>
  </si>
  <si>
    <t>Total for Three Festivals throughout 2017</t>
  </si>
  <si>
    <t>Total for  Festival 4 in One Area</t>
  </si>
  <si>
    <t>Total for Festival 4 in Three Areas</t>
  </si>
  <si>
    <t>Festival Engagement &amp; Delivery</t>
  </si>
  <si>
    <t>FESTIVAL ENGAGEMENT &amp; DELIVERY - FESTIVAL 4 LEGACY</t>
  </si>
  <si>
    <t>Sub-Total Festival Engagement , MarComms, Evaluation</t>
  </si>
  <si>
    <t>Festival Engagement,  MarComms &amp; Evaluation</t>
  </si>
  <si>
    <t>Contingency @ 10% Programming</t>
  </si>
  <si>
    <t>On site catering - 20 people, 10 days @£8</t>
  </si>
  <si>
    <t>Local Technical Manager - 12 days @ £150</t>
  </si>
  <si>
    <t xml:space="preserve">ACE STF Request as % of total project </t>
  </si>
  <si>
    <t>Duty of Care - 20 people, 10 days @£8</t>
  </si>
  <si>
    <t>PER FESTIVAL ENGAGEMENT &amp; DELIVERY</t>
  </si>
  <si>
    <t xml:space="preserve">Funding - Trust &amp; Foundation </t>
  </si>
  <si>
    <t>Funding  - Spirit of 2012</t>
  </si>
  <si>
    <t xml:space="preserve">Type of Expenditure </t>
  </si>
  <si>
    <t>Marketing and Development</t>
  </si>
  <si>
    <t>Artistic Spending</t>
  </si>
  <si>
    <t>Overheads</t>
  </si>
  <si>
    <t xml:space="preserve">Access </t>
  </si>
  <si>
    <t xml:space="preserve">Technical Co-ordinator &amp; Venue Liaison - 18 months- 0.6  average </t>
  </si>
  <si>
    <t xml:space="preserve">Other </t>
  </si>
  <si>
    <t>Access</t>
  </si>
  <si>
    <t xml:space="preserve">Other (inlcuding contingency) </t>
  </si>
  <si>
    <t xml:space="preserve">TOTAL </t>
  </si>
  <si>
    <t xml:space="preserve">Expenditure as per online form </t>
  </si>
  <si>
    <t xml:space="preserve">Funding  - Hull CCG </t>
  </si>
  <si>
    <t>Status</t>
  </si>
  <si>
    <t>Confirmed</t>
  </si>
  <si>
    <t>This application</t>
  </si>
  <si>
    <t>Applications pending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</si>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</sst>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0" fillId="2" borderId="1" xfId="0" applyFill="1" applyBorder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0" fontId="0" fillId="4" borderId="0" xfId="0" applyFont="1" applyFill="1"/>
    <xf numFmtId="0" fontId="0" fillId="0" borderId="0" xfId="0" applyFill="1" applyBorder="1"/>
    <xf numFmtId="0" fontId="2" fillId="3" borderId="1" xfId="0" applyFont="1" applyFill="1" applyBorder="1"/>
    <xf numFmtId="0" fontId="0" fillId="0" borderId="0" xfId="0" applyFill="1"/>
    <xf numFmtId="0" fontId="2" fillId="4" borderId="1" xfId="0" applyFont="1" applyFill="1" applyBorder="1"/>
    <xf numFmtId="0" fontId="2" fillId="5" borderId="0" xfId="0" applyFont="1" applyFill="1"/>
    <xf numFmtId="0" fontId="0" fillId="5" borderId="0" xfId="0" applyFill="1"/>
    <xf numFmtId="0" fontId="2" fillId="6" borderId="0" xfId="0" applyFont="1" applyFill="1"/>
    <xf numFmtId="0" fontId="0" fillId="6" borderId="0" xfId="0" applyFill="1"/>
    <xf numFmtId="9" fontId="0" fillId="6" borderId="0" xfId="1" applyFont="1" applyFill="1"/>
    <xf numFmtId="1" fontId="0" fillId="6" borderId="0" xfId="0" applyNumberFormat="1" applyFill="1"/>
    <xf numFmtId="0" fontId="0" fillId="6" borderId="2" xfId="0" applyFill="1" applyBorder="1"/>
    <xf numFmtId="1" fontId="0" fillId="6" borderId="2" xfId="0" applyNumberFormat="1" applyFill="1" applyBorder="1"/>
    <xf numFmtId="0" fontId="2" fillId="0" borderId="0" xfId="0" applyFont="1" applyFill="1" applyBorder="1"/>
    <xf numFmtId="0" fontId="2" fillId="5" borderId="3" xfId="0" applyFont="1" applyFill="1" applyBorder="1"/>
    <xf numFmtId="1" fontId="0" fillId="5" borderId="0" xfId="0" applyNumberFormat="1" applyFill="1"/>
    <xf numFmtId="0" fontId="2" fillId="7" borderId="0" xfId="0" applyFont="1" applyFill="1" applyBorder="1"/>
    <xf numFmtId="0" fontId="0" fillId="7" borderId="0" xfId="0" applyFill="1"/>
    <xf numFmtId="0" fontId="0" fillId="7" borderId="1" xfId="0" applyFill="1" applyBorder="1"/>
    <xf numFmtId="0" fontId="2" fillId="7" borderId="2" xfId="0" applyFont="1" applyFill="1" applyBorder="1"/>
    <xf numFmtId="1" fontId="2" fillId="5" borderId="3" xfId="0" applyNumberFormat="1" applyFont="1" applyFill="1" applyBorder="1"/>
    <xf numFmtId="0" fontId="0" fillId="0" borderId="0" xfId="0" applyBorder="1"/>
    <xf numFmtId="0" fontId="2" fillId="0" borderId="0" xfId="0" applyFont="1" applyBorder="1"/>
    <xf numFmtId="1" fontId="2" fillId="0" borderId="0" xfId="0" applyNumberFormat="1" applyFont="1" applyFill="1" applyBorder="1"/>
    <xf numFmtId="0" fontId="3" fillId="0" borderId="4" xfId="0" applyFont="1" applyFill="1" applyBorder="1"/>
    <xf numFmtId="0" fontId="4" fillId="0" borderId="5" xfId="0" applyFont="1" applyFill="1" applyBorder="1"/>
    <xf numFmtId="9" fontId="4" fillId="0" borderId="6" xfId="1" applyFont="1" applyFill="1" applyBorder="1"/>
    <xf numFmtId="0" fontId="2" fillId="0" borderId="4" xfId="0" applyFont="1" applyFill="1" applyBorder="1"/>
    <xf numFmtId="1" fontId="2" fillId="0" borderId="6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0" fontId="2" fillId="8" borderId="0" xfId="0" applyFont="1" applyFill="1"/>
    <xf numFmtId="0" fontId="0" fillId="8" borderId="0" xfId="0" applyFill="1"/>
    <xf numFmtId="0" fontId="2" fillId="8" borderId="7" xfId="0" applyFont="1" applyFill="1" applyBorder="1"/>
    <xf numFmtId="0" fontId="2" fillId="8" borderId="8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lture%20Company\Projects\Network%20Neighbourhood\A_Project%20Plan\Programming\20160308%20Summary%20Programme%20L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Festival Programme"/>
      <sheetName val="Feb Box Office Projection"/>
      <sheetName val="May Festival Programme"/>
      <sheetName val="May Box Office Projection"/>
    </sheetNames>
    <sheetDataSet>
      <sheetData sheetId="0">
        <row r="24">
          <cell r="C24">
            <v>41800</v>
          </cell>
        </row>
      </sheetData>
      <sheetData sheetId="1">
        <row r="40">
          <cell r="B40">
            <v>27</v>
          </cell>
          <cell r="G40">
            <v>3392.5</v>
          </cell>
          <cell r="I40">
            <v>18691.666666666668</v>
          </cell>
        </row>
      </sheetData>
      <sheetData sheetId="2">
        <row r="18">
          <cell r="C18">
            <v>44300</v>
          </cell>
        </row>
      </sheetData>
      <sheetData sheetId="3">
        <row r="36">
          <cell r="B36">
            <v>28</v>
          </cell>
          <cell r="G36">
            <v>3027.5</v>
          </cell>
          <cell r="I36">
            <v>18566.666666666664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tabSelected="1" topLeftCell="A73" workbookViewId="0">
      <selection activeCell="E88" sqref="E88"/>
    </sheetView>
  </sheetViews>
  <sheetFormatPr defaultRowHeight="15" x14ac:dyDescent="0.25"/>
  <cols>
    <col min="1" max="1" width="28.28515625" customWidth="1"/>
    <col min="2" max="2" width="62.42578125" bestFit="1" customWidth="1"/>
    <col min="3" max="3" width="15.28515625" bestFit="1" customWidth="1"/>
    <col min="5" max="5" width="34.7109375" bestFit="1" customWidth="1"/>
    <col min="6" max="6" width="19.140625" bestFit="1" customWidth="1"/>
    <col min="7" max="7" width="12.28515625" bestFit="1" customWidth="1"/>
    <col min="8" max="8" width="12.28515625" customWidth="1"/>
    <col min="9" max="9" width="15.140625" bestFit="1" customWidth="1"/>
    <col min="10" max="10" width="21.140625" bestFit="1" customWidth="1"/>
    <col min="12" max="12" width="26.85546875" customWidth="1"/>
    <col min="13" max="13" width="14.85546875" customWidth="1"/>
  </cols>
  <sheetData>
    <row r="1" spans="1:10" x14ac:dyDescent="0.25">
      <c r="B1" s="1" t="s">
        <v>0</v>
      </c>
    </row>
    <row r="2" spans="1:10" x14ac:dyDescent="0.25">
      <c r="B2" s="1" t="s">
        <v>1</v>
      </c>
    </row>
    <row r="4" spans="1:10" x14ac:dyDescent="0.25">
      <c r="B4" s="14" t="s">
        <v>22</v>
      </c>
      <c r="C4" s="15"/>
      <c r="E4" s="14" t="s">
        <v>23</v>
      </c>
      <c r="F4" s="14" t="s">
        <v>90</v>
      </c>
      <c r="G4" s="15"/>
      <c r="H4" s="15"/>
      <c r="I4" s="15"/>
      <c r="J4" s="15"/>
    </row>
    <row r="5" spans="1:10" x14ac:dyDescent="0.25">
      <c r="B5" s="15" t="s">
        <v>2</v>
      </c>
      <c r="C5" s="15">
        <f>C18</f>
        <v>16000</v>
      </c>
      <c r="E5" s="14" t="s">
        <v>89</v>
      </c>
      <c r="F5" s="15" t="s">
        <v>91</v>
      </c>
      <c r="G5" s="15"/>
      <c r="H5" s="15"/>
      <c r="I5" s="15"/>
      <c r="J5" s="15">
        <v>75000</v>
      </c>
    </row>
    <row r="6" spans="1:10" x14ac:dyDescent="0.25">
      <c r="B6" s="15" t="s">
        <v>46</v>
      </c>
      <c r="C6" s="15">
        <f>C26</f>
        <v>172200</v>
      </c>
      <c r="E6" s="14" t="s">
        <v>77</v>
      </c>
      <c r="F6" s="15" t="s">
        <v>91</v>
      </c>
      <c r="G6" s="15"/>
      <c r="H6" s="15"/>
      <c r="I6" s="15"/>
      <c r="J6" s="15">
        <v>75000</v>
      </c>
    </row>
    <row r="7" spans="1:10" x14ac:dyDescent="0.25">
      <c r="B7" s="15" t="s">
        <v>66</v>
      </c>
      <c r="C7" s="15">
        <f>C56+C85</f>
        <v>300975</v>
      </c>
      <c r="E7" s="14" t="s">
        <v>76</v>
      </c>
      <c r="F7" s="15" t="s">
        <v>93</v>
      </c>
      <c r="G7" s="15"/>
      <c r="H7" s="15"/>
      <c r="I7" s="15"/>
      <c r="J7" s="15">
        <v>75000</v>
      </c>
    </row>
    <row r="8" spans="1:10" x14ac:dyDescent="0.25">
      <c r="B8" s="15" t="s">
        <v>24</v>
      </c>
      <c r="C8" s="15">
        <f>C96</f>
        <v>63900</v>
      </c>
      <c r="E8" s="14" t="s">
        <v>28</v>
      </c>
      <c r="F8" s="15" t="s">
        <v>92</v>
      </c>
      <c r="G8" s="15"/>
      <c r="H8" s="15"/>
      <c r="I8" s="15"/>
      <c r="J8" s="15">
        <v>269000</v>
      </c>
    </row>
    <row r="9" spans="1:10" x14ac:dyDescent="0.25">
      <c r="B9" s="15" t="s">
        <v>70</v>
      </c>
      <c r="C9" s="15">
        <f>(C6*0.1)+91</f>
        <v>17311</v>
      </c>
      <c r="E9" s="14" t="s">
        <v>29</v>
      </c>
      <c r="F9" s="15" t="s">
        <v>94</v>
      </c>
      <c r="G9" s="15"/>
      <c r="H9" s="15"/>
      <c r="I9" s="15"/>
      <c r="J9" s="24">
        <f>J26</f>
        <v>76385.833333333328</v>
      </c>
    </row>
    <row r="10" spans="1:10" ht="15.75" thickBot="1" x14ac:dyDescent="0.3">
      <c r="B10" s="23" t="s">
        <v>47</v>
      </c>
      <c r="C10" s="29">
        <f>SUM(C5:C9)</f>
        <v>570386</v>
      </c>
      <c r="E10" s="23" t="s">
        <v>48</v>
      </c>
      <c r="F10" s="23"/>
      <c r="G10" s="23"/>
      <c r="H10" s="23"/>
      <c r="I10" s="23"/>
      <c r="J10" s="29">
        <f>SUM(J5:J9)</f>
        <v>570385.83333333337</v>
      </c>
    </row>
    <row r="11" spans="1:10" s="12" customFormat="1" ht="15.75" thickBot="1" x14ac:dyDescent="0.3">
      <c r="B11" s="36" t="s">
        <v>51</v>
      </c>
      <c r="C11" s="37">
        <f>J10-C10</f>
        <v>-0.16666666662786156</v>
      </c>
      <c r="E11" s="33" t="s">
        <v>73</v>
      </c>
      <c r="F11" s="34"/>
      <c r="G11" s="34"/>
      <c r="H11" s="34"/>
      <c r="I11" s="34"/>
      <c r="J11" s="35">
        <f>J8/J10</f>
        <v>0.4716105910765081</v>
      </c>
    </row>
    <row r="12" spans="1:10" s="12" customFormat="1" x14ac:dyDescent="0.25">
      <c r="B12" s="22"/>
      <c r="C12" s="32"/>
      <c r="E12"/>
      <c r="F12"/>
      <c r="G12"/>
      <c r="H12"/>
      <c r="I12"/>
      <c r="J12"/>
    </row>
    <row r="14" spans="1:10" x14ac:dyDescent="0.25">
      <c r="A14" s="1" t="s">
        <v>78</v>
      </c>
      <c r="B14" s="7" t="s">
        <v>2</v>
      </c>
      <c r="C14" s="8"/>
    </row>
    <row r="15" spans="1:10" x14ac:dyDescent="0.25">
      <c r="A15" t="s">
        <v>79</v>
      </c>
      <c r="B15" s="9" t="s">
        <v>35</v>
      </c>
      <c r="C15" s="8">
        <v>10000</v>
      </c>
    </row>
    <row r="16" spans="1:10" x14ac:dyDescent="0.25">
      <c r="A16" t="s">
        <v>79</v>
      </c>
      <c r="B16" s="9" t="s">
        <v>36</v>
      </c>
      <c r="C16" s="8">
        <v>5000</v>
      </c>
    </row>
    <row r="17" spans="1:14" x14ac:dyDescent="0.25">
      <c r="A17" t="s">
        <v>79</v>
      </c>
      <c r="B17" s="8" t="s">
        <v>56</v>
      </c>
      <c r="C17" s="8">
        <v>1000</v>
      </c>
    </row>
    <row r="18" spans="1:14" x14ac:dyDescent="0.25">
      <c r="B18" s="13" t="s">
        <v>4</v>
      </c>
      <c r="C18" s="13">
        <f>SUM(C15:C17)</f>
        <v>16000</v>
      </c>
    </row>
    <row r="20" spans="1:14" x14ac:dyDescent="0.25">
      <c r="A20" s="1" t="s">
        <v>78</v>
      </c>
      <c r="B20" s="2" t="s">
        <v>38</v>
      </c>
      <c r="C20" s="3"/>
      <c r="E20" s="16" t="s">
        <v>15</v>
      </c>
      <c r="F20" s="17"/>
      <c r="G20" s="17"/>
      <c r="H20" s="17"/>
      <c r="I20" s="17"/>
      <c r="J20" s="17"/>
    </row>
    <row r="21" spans="1:14" x14ac:dyDescent="0.25">
      <c r="A21" t="s">
        <v>80</v>
      </c>
      <c r="B21" s="3" t="s">
        <v>8</v>
      </c>
      <c r="C21" s="3"/>
      <c r="E21" s="17" t="s">
        <v>16</v>
      </c>
      <c r="F21" s="17" t="s">
        <v>30</v>
      </c>
      <c r="G21" s="17"/>
      <c r="H21" s="17" t="s">
        <v>18</v>
      </c>
      <c r="I21" s="17" t="s">
        <v>17</v>
      </c>
      <c r="J21" s="17" t="s">
        <v>20</v>
      </c>
      <c r="L21" s="38"/>
      <c r="M21" s="39"/>
    </row>
    <row r="22" spans="1:14" x14ac:dyDescent="0.25">
      <c r="A22" t="s">
        <v>80</v>
      </c>
      <c r="B22" s="3" t="s">
        <v>34</v>
      </c>
      <c r="C22" s="3">
        <f>'[1]Feb Festival Programme'!$C$24</f>
        <v>41800</v>
      </c>
      <c r="E22" s="17" t="s">
        <v>34</v>
      </c>
      <c r="F22" s="17">
        <f>'[1]Feb Box Office Projection'!$B$40</f>
        <v>27</v>
      </c>
      <c r="G22" s="18"/>
      <c r="H22" s="19">
        <f>'[1]Feb Box Office Projection'!$G$40</f>
        <v>3392.5</v>
      </c>
      <c r="I22" s="17"/>
      <c r="J22" s="19">
        <f>'[1]Feb Box Office Projection'!$I$40</f>
        <v>18691.666666666668</v>
      </c>
      <c r="L22" s="38"/>
      <c r="M22" s="39"/>
    </row>
    <row r="23" spans="1:14" x14ac:dyDescent="0.25">
      <c r="A23" t="s">
        <v>80</v>
      </c>
      <c r="B23" s="3" t="s">
        <v>31</v>
      </c>
      <c r="C23" s="3">
        <f>'[1]May Festival Programme'!$C$18</f>
        <v>44300</v>
      </c>
      <c r="E23" s="17" t="s">
        <v>31</v>
      </c>
      <c r="F23" s="19">
        <f>'[1]May Box Office Projection'!$B$36</f>
        <v>28</v>
      </c>
      <c r="G23" s="18"/>
      <c r="H23" s="19">
        <f>'[1]May Box Office Projection'!$G$36</f>
        <v>3027.5</v>
      </c>
      <c r="I23" s="17"/>
      <c r="J23" s="19">
        <f>'[1]May Box Office Projection'!$I$36</f>
        <v>18566.666666666664</v>
      </c>
      <c r="L23" s="38"/>
      <c r="M23" s="39"/>
    </row>
    <row r="24" spans="1:14" x14ac:dyDescent="0.25">
      <c r="A24" t="s">
        <v>80</v>
      </c>
      <c r="B24" s="3" t="s">
        <v>32</v>
      </c>
      <c r="C24" s="3">
        <f>C23</f>
        <v>44300</v>
      </c>
      <c r="E24" s="17" t="s">
        <v>32</v>
      </c>
      <c r="F24" s="19">
        <f>F23</f>
        <v>28</v>
      </c>
      <c r="G24" s="18"/>
      <c r="H24" s="19">
        <f>H23</f>
        <v>3027.5</v>
      </c>
      <c r="I24" s="17"/>
      <c r="J24" s="19">
        <f>J23</f>
        <v>18566.666666666664</v>
      </c>
      <c r="L24" s="38"/>
      <c r="M24" s="39"/>
    </row>
    <row r="25" spans="1:14" x14ac:dyDescent="0.25">
      <c r="A25" t="s">
        <v>80</v>
      </c>
      <c r="B25" s="3" t="s">
        <v>33</v>
      </c>
      <c r="C25" s="3">
        <f>C22</f>
        <v>41800</v>
      </c>
      <c r="E25" s="17" t="s">
        <v>33</v>
      </c>
      <c r="F25" s="19">
        <f>F22</f>
        <v>27</v>
      </c>
      <c r="G25" s="18"/>
      <c r="H25" s="19">
        <f>H22*1.1</f>
        <v>3731.7500000000005</v>
      </c>
      <c r="I25" s="17"/>
      <c r="J25" s="19">
        <f>J22*1.1</f>
        <v>20560.833333333336</v>
      </c>
      <c r="L25" s="38"/>
      <c r="M25" s="39"/>
    </row>
    <row r="26" spans="1:14" ht="15.75" thickBot="1" x14ac:dyDescent="0.3">
      <c r="B26" s="4" t="s">
        <v>43</v>
      </c>
      <c r="C26" s="4">
        <f>SUM(C22:C25)</f>
        <v>172200</v>
      </c>
      <c r="E26" s="20" t="s">
        <v>19</v>
      </c>
      <c r="F26" s="20">
        <f>SUM(F22:F25)</f>
        <v>110</v>
      </c>
      <c r="G26" s="20"/>
      <c r="H26" s="21">
        <f>SUM(H22:H25)</f>
        <v>13179.25</v>
      </c>
      <c r="I26" s="20"/>
      <c r="J26" s="21">
        <f>SUM(J22:J25)</f>
        <v>76385.833333333328</v>
      </c>
      <c r="L26" s="38"/>
      <c r="M26" s="39"/>
    </row>
    <row r="27" spans="1:14" s="12" customFormat="1" x14ac:dyDescent="0.25">
      <c r="L27"/>
      <c r="M27"/>
      <c r="N27"/>
    </row>
    <row r="28" spans="1:14" s="12" customFormat="1" x14ac:dyDescent="0.25">
      <c r="A28" s="1" t="s">
        <v>78</v>
      </c>
      <c r="B28" s="25" t="s">
        <v>75</v>
      </c>
      <c r="C28" s="26"/>
      <c r="E28"/>
      <c r="F28"/>
      <c r="L28"/>
      <c r="M28"/>
      <c r="N28"/>
    </row>
    <row r="29" spans="1:14" x14ac:dyDescent="0.25">
      <c r="A29" t="s">
        <v>80</v>
      </c>
      <c r="B29" s="26" t="s">
        <v>25</v>
      </c>
      <c r="C29" s="26">
        <f>7*350</f>
        <v>2450</v>
      </c>
    </row>
    <row r="30" spans="1:14" x14ac:dyDescent="0.25">
      <c r="A30" t="s">
        <v>80</v>
      </c>
      <c r="B30" s="26" t="s">
        <v>50</v>
      </c>
      <c r="C30" s="26">
        <f>10*700</f>
        <v>7000</v>
      </c>
    </row>
    <row r="31" spans="1:14" x14ac:dyDescent="0.25">
      <c r="A31" t="s">
        <v>80</v>
      </c>
      <c r="B31" s="26" t="s">
        <v>49</v>
      </c>
      <c r="C31" s="26">
        <v>600</v>
      </c>
    </row>
    <row r="32" spans="1:14" x14ac:dyDescent="0.25">
      <c r="A32" t="s">
        <v>80</v>
      </c>
      <c r="B32" s="26" t="s">
        <v>40</v>
      </c>
      <c r="C32" s="26">
        <v>500</v>
      </c>
    </row>
    <row r="33" spans="1:3" x14ac:dyDescent="0.25">
      <c r="A33" t="s">
        <v>80</v>
      </c>
      <c r="B33" s="26" t="s">
        <v>74</v>
      </c>
      <c r="C33" s="26">
        <f>20*10*8</f>
        <v>1600</v>
      </c>
    </row>
    <row r="34" spans="1:3" x14ac:dyDescent="0.25">
      <c r="B34" s="27" t="s">
        <v>5</v>
      </c>
      <c r="C34" s="27">
        <f>SUM(C29:C33)</f>
        <v>12150</v>
      </c>
    </row>
    <row r="35" spans="1:3" x14ac:dyDescent="0.25">
      <c r="B35" s="26"/>
      <c r="C35" s="26"/>
    </row>
    <row r="36" spans="1:3" x14ac:dyDescent="0.25">
      <c r="B36" s="26" t="s">
        <v>3</v>
      </c>
      <c r="C36" s="26"/>
    </row>
    <row r="37" spans="1:3" x14ac:dyDescent="0.25">
      <c r="A37" t="s">
        <v>80</v>
      </c>
      <c r="B37" s="26" t="s">
        <v>72</v>
      </c>
      <c r="C37" s="26">
        <f>12*150</f>
        <v>1800</v>
      </c>
    </row>
    <row r="38" spans="1:3" x14ac:dyDescent="0.25">
      <c r="A38" t="s">
        <v>80</v>
      </c>
      <c r="B38" s="26" t="s">
        <v>6</v>
      </c>
      <c r="C38" s="26">
        <f>2*10*120</f>
        <v>2400</v>
      </c>
    </row>
    <row r="39" spans="1:3" x14ac:dyDescent="0.25">
      <c r="A39" t="s">
        <v>80</v>
      </c>
      <c r="B39" s="26" t="s">
        <v>53</v>
      </c>
      <c r="C39" s="26">
        <f>12*50</f>
        <v>600</v>
      </c>
    </row>
    <row r="40" spans="1:3" x14ac:dyDescent="0.25">
      <c r="A40" t="s">
        <v>80</v>
      </c>
      <c r="B40" s="26" t="s">
        <v>14</v>
      </c>
      <c r="C40" s="26">
        <f>10*80</f>
        <v>800</v>
      </c>
    </row>
    <row r="41" spans="1:3" x14ac:dyDescent="0.25">
      <c r="A41" t="s">
        <v>80</v>
      </c>
      <c r="B41" s="26" t="s">
        <v>21</v>
      </c>
      <c r="C41" s="26">
        <f>10*2*40</f>
        <v>800</v>
      </c>
    </row>
    <row r="42" spans="1:3" x14ac:dyDescent="0.25">
      <c r="B42" s="27" t="s">
        <v>7</v>
      </c>
      <c r="C42" s="27">
        <f>SUM(C37:C41)</f>
        <v>6400</v>
      </c>
    </row>
    <row r="43" spans="1:3" x14ac:dyDescent="0.25">
      <c r="B43" s="26"/>
      <c r="C43" s="26"/>
    </row>
    <row r="44" spans="1:3" x14ac:dyDescent="0.25">
      <c r="B44" s="26" t="s">
        <v>69</v>
      </c>
      <c r="C44" s="26"/>
    </row>
    <row r="45" spans="1:3" x14ac:dyDescent="0.25">
      <c r="A45" t="s">
        <v>79</v>
      </c>
      <c r="B45" s="26" t="s">
        <v>39</v>
      </c>
      <c r="C45" s="26">
        <f>10*150</f>
        <v>1500</v>
      </c>
    </row>
    <row r="46" spans="1:3" x14ac:dyDescent="0.25">
      <c r="A46" t="s">
        <v>79</v>
      </c>
      <c r="B46" s="26" t="s">
        <v>54</v>
      </c>
      <c r="C46" s="26">
        <f>10*50</f>
        <v>500</v>
      </c>
    </row>
    <row r="47" spans="1:3" x14ac:dyDescent="0.25">
      <c r="A47" t="s">
        <v>79</v>
      </c>
      <c r="B47" s="26" t="s">
        <v>12</v>
      </c>
      <c r="C47" s="26">
        <f>7*500</f>
        <v>3500</v>
      </c>
    </row>
    <row r="48" spans="1:3" x14ac:dyDescent="0.25">
      <c r="A48" t="s">
        <v>85</v>
      </c>
      <c r="B48" s="26" t="s">
        <v>52</v>
      </c>
      <c r="C48" s="26">
        <v>550</v>
      </c>
    </row>
    <row r="49" spans="1:10" x14ac:dyDescent="0.25">
      <c r="A49" t="s">
        <v>80</v>
      </c>
      <c r="B49" s="26" t="s">
        <v>13</v>
      </c>
      <c r="C49" s="26">
        <v>300</v>
      </c>
    </row>
    <row r="50" spans="1:10" x14ac:dyDescent="0.25">
      <c r="A50" t="s">
        <v>80</v>
      </c>
      <c r="B50" s="26" t="s">
        <v>27</v>
      </c>
      <c r="C50" s="26">
        <v>500</v>
      </c>
    </row>
    <row r="51" spans="1:10" x14ac:dyDescent="0.25">
      <c r="A51" t="s">
        <v>84</v>
      </c>
      <c r="B51" s="26" t="s">
        <v>37</v>
      </c>
      <c r="C51" s="26">
        <v>250</v>
      </c>
    </row>
    <row r="52" spans="1:10" x14ac:dyDescent="0.25">
      <c r="B52" s="27" t="s">
        <v>68</v>
      </c>
      <c r="C52" s="27">
        <f>SUM(C45:C51)</f>
        <v>7100</v>
      </c>
    </row>
    <row r="53" spans="1:10" x14ac:dyDescent="0.25">
      <c r="B53" s="26"/>
      <c r="C53" s="26"/>
    </row>
    <row r="54" spans="1:10" x14ac:dyDescent="0.25">
      <c r="B54" s="27" t="s">
        <v>41</v>
      </c>
      <c r="C54" s="27">
        <f>SUM(C52+C42+C34)</f>
        <v>25650</v>
      </c>
      <c r="E54" s="30"/>
      <c r="F54" s="30"/>
      <c r="G54" s="30"/>
      <c r="H54" s="30"/>
      <c r="I54" s="30"/>
      <c r="J54" s="30"/>
    </row>
    <row r="55" spans="1:10" x14ac:dyDescent="0.25">
      <c r="B55" s="27" t="s">
        <v>42</v>
      </c>
      <c r="C55" s="27">
        <f>C54*3</f>
        <v>76950</v>
      </c>
      <c r="E55" s="30"/>
      <c r="F55" s="30"/>
      <c r="G55" s="30"/>
      <c r="H55" s="30"/>
      <c r="I55" s="30"/>
      <c r="J55" s="30"/>
    </row>
    <row r="56" spans="1:10" ht="15.75" thickBot="1" x14ac:dyDescent="0.3">
      <c r="B56" s="28" t="s">
        <v>63</v>
      </c>
      <c r="C56" s="28">
        <f>C55*3</f>
        <v>230850</v>
      </c>
      <c r="E56" s="31"/>
      <c r="F56" s="31"/>
      <c r="G56" s="31"/>
      <c r="H56" s="31"/>
      <c r="I56" s="31"/>
      <c r="J56" s="31"/>
    </row>
    <row r="57" spans="1:10" x14ac:dyDescent="0.25">
      <c r="B57" s="10"/>
      <c r="C57" s="10"/>
    </row>
    <row r="58" spans="1:10" x14ac:dyDescent="0.25">
      <c r="B58" s="25" t="s">
        <v>67</v>
      </c>
      <c r="C58" s="26"/>
    </row>
    <row r="59" spans="1:10" x14ac:dyDescent="0.25">
      <c r="A59" t="s">
        <v>80</v>
      </c>
      <c r="B59" s="26" t="s">
        <v>25</v>
      </c>
      <c r="C59" s="26">
        <f>(7*350)/2</f>
        <v>1225</v>
      </c>
    </row>
    <row r="60" spans="1:10" x14ac:dyDescent="0.25">
      <c r="A60" t="s">
        <v>80</v>
      </c>
      <c r="B60" s="26" t="s">
        <v>50</v>
      </c>
      <c r="C60" s="26">
        <f>10*700</f>
        <v>7000</v>
      </c>
    </row>
    <row r="61" spans="1:10" x14ac:dyDescent="0.25">
      <c r="A61" t="s">
        <v>80</v>
      </c>
      <c r="B61" s="26" t="s">
        <v>49</v>
      </c>
      <c r="C61" s="26">
        <v>600</v>
      </c>
    </row>
    <row r="62" spans="1:10" x14ac:dyDescent="0.25">
      <c r="A62" t="s">
        <v>80</v>
      </c>
      <c r="B62" s="26" t="s">
        <v>40</v>
      </c>
      <c r="C62" s="26">
        <v>250</v>
      </c>
    </row>
    <row r="63" spans="1:10" x14ac:dyDescent="0.25">
      <c r="A63" t="s">
        <v>80</v>
      </c>
      <c r="B63" s="26" t="s">
        <v>71</v>
      </c>
      <c r="C63" s="26">
        <f>20*10*8</f>
        <v>1600</v>
      </c>
    </row>
    <row r="64" spans="1:10" x14ac:dyDescent="0.25">
      <c r="B64" s="27" t="s">
        <v>5</v>
      </c>
      <c r="C64" s="27">
        <f>SUM(C59:C63)</f>
        <v>10675</v>
      </c>
    </row>
    <row r="65" spans="1:3" x14ac:dyDescent="0.25">
      <c r="B65" s="26"/>
      <c r="C65" s="26"/>
    </row>
    <row r="66" spans="1:3" x14ac:dyDescent="0.25">
      <c r="B66" s="26" t="s">
        <v>3</v>
      </c>
      <c r="C66" s="26"/>
    </row>
    <row r="67" spans="1:3" x14ac:dyDescent="0.25">
      <c r="A67" t="s">
        <v>80</v>
      </c>
      <c r="B67" s="26" t="s">
        <v>59</v>
      </c>
      <c r="C67" s="26">
        <f>10*150</f>
        <v>1500</v>
      </c>
    </row>
    <row r="68" spans="1:3" x14ac:dyDescent="0.25">
      <c r="A68" t="s">
        <v>80</v>
      </c>
      <c r="B68" s="26" t="s">
        <v>6</v>
      </c>
      <c r="C68" s="26">
        <f>2*10*120</f>
        <v>2400</v>
      </c>
    </row>
    <row r="69" spans="1:3" x14ac:dyDescent="0.25">
      <c r="A69" t="s">
        <v>80</v>
      </c>
      <c r="B69" s="26" t="s">
        <v>60</v>
      </c>
      <c r="C69" s="26">
        <f>10*50</f>
        <v>500</v>
      </c>
    </row>
    <row r="70" spans="1:3" x14ac:dyDescent="0.25">
      <c r="A70" t="s">
        <v>80</v>
      </c>
      <c r="B70" s="26" t="s">
        <v>14</v>
      </c>
      <c r="C70" s="26">
        <f>10*80</f>
        <v>800</v>
      </c>
    </row>
    <row r="71" spans="1:3" x14ac:dyDescent="0.25">
      <c r="B71" s="26" t="s">
        <v>21</v>
      </c>
      <c r="C71" s="26">
        <f>10*2*40</f>
        <v>800</v>
      </c>
    </row>
    <row r="72" spans="1:3" x14ac:dyDescent="0.25">
      <c r="B72" s="27" t="s">
        <v>7</v>
      </c>
      <c r="C72" s="27">
        <f>SUM(C67:C71)</f>
        <v>6000</v>
      </c>
    </row>
    <row r="73" spans="1:3" x14ac:dyDescent="0.25">
      <c r="B73" s="26"/>
      <c r="C73" s="26"/>
    </row>
    <row r="74" spans="1:3" x14ac:dyDescent="0.25">
      <c r="B74" s="26" t="s">
        <v>11</v>
      </c>
      <c r="C74" s="26"/>
    </row>
    <row r="75" spans="1:3" x14ac:dyDescent="0.25">
      <c r="A75" t="s">
        <v>79</v>
      </c>
      <c r="B75" s="26" t="s">
        <v>61</v>
      </c>
      <c r="C75" s="26">
        <f>8*150</f>
        <v>1200</v>
      </c>
    </row>
    <row r="76" spans="1:3" x14ac:dyDescent="0.25">
      <c r="A76" t="s">
        <v>79</v>
      </c>
      <c r="B76" s="26" t="s">
        <v>62</v>
      </c>
      <c r="C76" s="26">
        <f>8*50</f>
        <v>400</v>
      </c>
    </row>
    <row r="77" spans="1:3" x14ac:dyDescent="0.25">
      <c r="A77" t="s">
        <v>79</v>
      </c>
      <c r="B77" s="26" t="s">
        <v>12</v>
      </c>
      <c r="C77" s="26">
        <f>7*500</f>
        <v>3500</v>
      </c>
    </row>
    <row r="78" spans="1:3" x14ac:dyDescent="0.25">
      <c r="A78" t="s">
        <v>82</v>
      </c>
      <c r="B78" s="26" t="s">
        <v>52</v>
      </c>
      <c r="C78" s="26">
        <v>550</v>
      </c>
    </row>
    <row r="79" spans="1:3" x14ac:dyDescent="0.25">
      <c r="A79" t="s">
        <v>80</v>
      </c>
      <c r="B79" s="26" t="s">
        <v>13</v>
      </c>
      <c r="C79" s="26">
        <v>300</v>
      </c>
    </row>
    <row r="80" spans="1:3" x14ac:dyDescent="0.25">
      <c r="A80" t="s">
        <v>80</v>
      </c>
      <c r="B80" s="26" t="s">
        <v>27</v>
      </c>
      <c r="C80" s="26">
        <v>500</v>
      </c>
    </row>
    <row r="81" spans="1:3" x14ac:dyDescent="0.25">
      <c r="A81" t="s">
        <v>84</v>
      </c>
      <c r="B81" s="26" t="s">
        <v>37</v>
      </c>
      <c r="C81" s="26">
        <v>250</v>
      </c>
    </row>
    <row r="82" spans="1:3" x14ac:dyDescent="0.25">
      <c r="B82" s="27" t="s">
        <v>68</v>
      </c>
      <c r="C82" s="27">
        <f>SUM(C75:C81)</f>
        <v>6700</v>
      </c>
    </row>
    <row r="83" spans="1:3" x14ac:dyDescent="0.25">
      <c r="B83" s="26"/>
      <c r="C83" s="26"/>
    </row>
    <row r="84" spans="1:3" x14ac:dyDescent="0.25">
      <c r="B84" s="27" t="s">
        <v>64</v>
      </c>
      <c r="C84" s="27">
        <f>SUM(C82+C72+C64)</f>
        <v>23375</v>
      </c>
    </row>
    <row r="85" spans="1:3" x14ac:dyDescent="0.25">
      <c r="B85" s="27" t="s">
        <v>65</v>
      </c>
      <c r="C85" s="27">
        <f>C84*3</f>
        <v>70125</v>
      </c>
    </row>
    <row r="88" spans="1:3" x14ac:dyDescent="0.25">
      <c r="A88" s="1" t="s">
        <v>78</v>
      </c>
      <c r="B88" s="5" t="s">
        <v>9</v>
      </c>
      <c r="C88" s="6"/>
    </row>
    <row r="89" spans="1:3" x14ac:dyDescent="0.25">
      <c r="A89" t="s">
        <v>81</v>
      </c>
      <c r="B89" s="6" t="s">
        <v>58</v>
      </c>
      <c r="C89" s="6">
        <f>18*100</f>
        <v>1800</v>
      </c>
    </row>
    <row r="90" spans="1:3" x14ac:dyDescent="0.25">
      <c r="A90" t="s">
        <v>81</v>
      </c>
      <c r="B90" s="6" t="s">
        <v>26</v>
      </c>
      <c r="C90" s="6">
        <f>600*12</f>
        <v>7200</v>
      </c>
    </row>
    <row r="91" spans="1:3" x14ac:dyDescent="0.25">
      <c r="A91" t="s">
        <v>81</v>
      </c>
      <c r="B91" s="6" t="s">
        <v>83</v>
      </c>
      <c r="C91" s="6">
        <f>(15*(32000/12))*0.6</f>
        <v>24000</v>
      </c>
    </row>
    <row r="92" spans="1:3" x14ac:dyDescent="0.25">
      <c r="A92" t="s">
        <v>81</v>
      </c>
      <c r="B92" s="6" t="s">
        <v>44</v>
      </c>
      <c r="C92" s="6">
        <f>((18*(25000/12))*0.6)</f>
        <v>22500</v>
      </c>
    </row>
    <row r="93" spans="1:3" x14ac:dyDescent="0.25">
      <c r="A93" t="s">
        <v>81</v>
      </c>
      <c r="B93" s="6" t="s">
        <v>57</v>
      </c>
      <c r="C93" s="6">
        <f>3*2*18*25</f>
        <v>2700</v>
      </c>
    </row>
    <row r="94" spans="1:3" x14ac:dyDescent="0.25">
      <c r="A94" t="s">
        <v>79</v>
      </c>
      <c r="B94" s="6" t="s">
        <v>55</v>
      </c>
      <c r="C94" s="6">
        <f>6*3*3*50</f>
        <v>2700</v>
      </c>
    </row>
    <row r="95" spans="1:3" x14ac:dyDescent="0.25">
      <c r="A95" t="s">
        <v>81</v>
      </c>
      <c r="B95" s="6" t="s">
        <v>45</v>
      </c>
      <c r="C95" s="6">
        <f>3*1000</f>
        <v>3000</v>
      </c>
    </row>
    <row r="96" spans="1:3" x14ac:dyDescent="0.25">
      <c r="B96" s="11" t="s">
        <v>10</v>
      </c>
      <c r="C96" s="11">
        <f>SUM(C89:C95)</f>
        <v>63900</v>
      </c>
    </row>
    <row r="99" spans="2:3" x14ac:dyDescent="0.25">
      <c r="B99" s="40" t="s">
        <v>88</v>
      </c>
      <c r="C99" s="41"/>
    </row>
    <row r="100" spans="2:3" x14ac:dyDescent="0.25">
      <c r="B100" s="41" t="s">
        <v>85</v>
      </c>
      <c r="C100" s="41">
        <f>550*3*3</f>
        <v>4950</v>
      </c>
    </row>
    <row r="101" spans="2:3" x14ac:dyDescent="0.25">
      <c r="B101" s="41" t="s">
        <v>80</v>
      </c>
      <c r="C101" s="41">
        <v>404075</v>
      </c>
    </row>
    <row r="102" spans="2:3" x14ac:dyDescent="0.25">
      <c r="B102" s="41" t="s">
        <v>79</v>
      </c>
      <c r="C102" s="41">
        <f>16000+61600+2700</f>
        <v>80300</v>
      </c>
    </row>
    <row r="103" spans="2:3" x14ac:dyDescent="0.25">
      <c r="B103" s="41" t="s">
        <v>86</v>
      </c>
      <c r="C103" s="41">
        <f>23011-2700</f>
        <v>20311</v>
      </c>
    </row>
    <row r="104" spans="2:3" x14ac:dyDescent="0.25">
      <c r="B104" s="41" t="s">
        <v>81</v>
      </c>
      <c r="C104" s="41">
        <v>61200</v>
      </c>
    </row>
    <row r="105" spans="2:3" x14ac:dyDescent="0.25">
      <c r="B105" s="42" t="s">
        <v>87</v>
      </c>
      <c r="C105" s="43">
        <f>SUM(C100:C104)</f>
        <v>570836</v>
      </c>
    </row>
  </sheetData>
  <pageMargins left="0.7" right="0.7" top="0.75" bottom="0.75" header="0.3" footer="0.3"/>
  <pageSetup paperSize="8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19FB8D7-A066-4C13-B05D-EC423044DC94}"/>
</file>

<file path=customXml/itemProps2.xml><?xml version="1.0" encoding="utf-8"?>
<ds:datastoreItem xmlns:ds="http://schemas.openxmlformats.org/officeDocument/2006/customXml" ds:itemID="{39C04741-973A-4335-94AA-D80EC30023EE}"/>
</file>

<file path=customXml/itemProps3.xml><?xml version="1.0" encoding="utf-8"?>
<ds:datastoreItem xmlns:ds="http://schemas.openxmlformats.org/officeDocument/2006/customXml" ds:itemID="{0454C4D7-EA15-4188-A721-37ABD49E35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 Henrietta</dc:creator>
  <cp:lastModifiedBy>Trowsdale James</cp:lastModifiedBy>
  <cp:lastPrinted>2016-03-18T15:27:31Z</cp:lastPrinted>
  <dcterms:created xsi:type="dcterms:W3CDTF">2016-03-05T23:05:43Z</dcterms:created>
  <dcterms:modified xsi:type="dcterms:W3CDTF">2016-03-18T15:59:32Z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