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Return to Vegas\A_Budget\"/>
    </mc:Choice>
  </mc:AlternateContent>
  <bookViews>
    <workbookView xWindow="15" yWindow="0" windowWidth="14175" windowHeight="1267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235" i="1" l="1"/>
  <c r="L180" i="1"/>
  <c r="C166" i="1" l="1"/>
  <c r="C165" i="1"/>
  <c r="C158" i="1"/>
  <c r="D169" i="1"/>
  <c r="F5" i="1"/>
  <c r="L279" i="1" s="1"/>
  <c r="F24" i="1" l="1"/>
  <c r="L36" i="1" s="1"/>
  <c r="L278" i="1"/>
  <c r="L195" i="1" l="1"/>
  <c r="L372" i="1"/>
  <c r="L373" i="1" s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0" i="1"/>
  <c r="L171" i="1"/>
  <c r="F165" i="1"/>
  <c r="I172" i="1"/>
  <c r="D172" i="1"/>
  <c r="J166" i="1"/>
  <c r="I163" i="1"/>
  <c r="D163" i="1"/>
  <c r="I135" i="1"/>
  <c r="D135" i="1"/>
  <c r="H175" i="1"/>
  <c r="J175" i="1" s="1"/>
  <c r="H174" i="1"/>
  <c r="H169" i="1"/>
  <c r="K169" i="1" s="1"/>
  <c r="H166" i="1"/>
  <c r="H165" i="1"/>
  <c r="J165" i="1" s="1"/>
  <c r="H160" i="1"/>
  <c r="H159" i="1"/>
  <c r="H158" i="1"/>
  <c r="K158" i="1" s="1"/>
  <c r="F169" i="1"/>
  <c r="D160" i="1"/>
  <c r="D159" i="1"/>
  <c r="D158" i="1"/>
  <c r="G158" i="1" s="1"/>
  <c r="I145" i="1"/>
  <c r="I144" i="1"/>
  <c r="H145" i="1"/>
  <c r="H144" i="1"/>
  <c r="K141" i="1"/>
  <c r="H140" i="1"/>
  <c r="K140" i="1" s="1"/>
  <c r="K139" i="1"/>
  <c r="H138" i="1"/>
  <c r="K138" i="1" s="1"/>
  <c r="K137" i="1"/>
  <c r="H132" i="1"/>
  <c r="K132" i="1" s="1"/>
  <c r="H131" i="1"/>
  <c r="K131" i="1" s="1"/>
  <c r="H130" i="1"/>
  <c r="K130" i="1" s="1"/>
  <c r="I119" i="1"/>
  <c r="G119" i="1"/>
  <c r="F145" i="1"/>
  <c r="F144" i="1"/>
  <c r="D141" i="1"/>
  <c r="G141" i="1" s="1"/>
  <c r="G140" i="1"/>
  <c r="G139" i="1"/>
  <c r="G138" i="1"/>
  <c r="G137" i="1"/>
  <c r="D132" i="1"/>
  <c r="G132" i="1" s="1"/>
  <c r="D131" i="1"/>
  <c r="G131" i="1" s="1"/>
  <c r="D130" i="1"/>
  <c r="G130" i="1" s="1"/>
  <c r="L219" i="1"/>
  <c r="L224" i="1"/>
  <c r="L229" i="1"/>
  <c r="C148" i="1"/>
  <c r="K148" i="1" s="1"/>
  <c r="E105" i="1"/>
  <c r="G169" i="1" l="1"/>
  <c r="F172" i="1"/>
  <c r="G148" i="1"/>
  <c r="L148" i="1" s="1"/>
  <c r="F170" i="1"/>
  <c r="J169" i="1"/>
  <c r="L169" i="1" s="1"/>
  <c r="F173" i="1"/>
  <c r="L165" i="1"/>
  <c r="J144" i="1"/>
  <c r="L144" i="1" s="1"/>
  <c r="J145" i="1"/>
  <c r="L145" i="1" s="1"/>
  <c r="L399" i="1"/>
  <c r="L396" i="1"/>
  <c r="L382" i="1"/>
  <c r="L328" i="1"/>
  <c r="L318" i="1"/>
  <c r="L315" i="1"/>
  <c r="L312" i="1"/>
  <c r="L309" i="1"/>
  <c r="L306" i="1"/>
  <c r="L303" i="1"/>
  <c r="L300" i="1"/>
  <c r="L290" i="1"/>
  <c r="L287" i="1"/>
  <c r="L275" i="1"/>
  <c r="L272" i="1"/>
  <c r="L269" i="1"/>
  <c r="L266" i="1"/>
  <c r="L263" i="1"/>
  <c r="L260" i="1"/>
  <c r="L257" i="1"/>
  <c r="L245" i="1"/>
  <c r="L242" i="1"/>
  <c r="L239" i="1"/>
  <c r="F158" i="1"/>
  <c r="J159" i="1"/>
  <c r="J160" i="1"/>
  <c r="I158" i="1"/>
  <c r="J158" i="1" s="1"/>
  <c r="G159" i="1"/>
  <c r="G160" i="1"/>
  <c r="F160" i="1"/>
  <c r="F159" i="1"/>
  <c r="F166" i="1"/>
  <c r="L166" i="1" s="1"/>
  <c r="F174" i="1"/>
  <c r="F175" i="1"/>
  <c r="L175" i="1" s="1"/>
  <c r="I130" i="1"/>
  <c r="J130" i="1" s="1"/>
  <c r="J125" i="1"/>
  <c r="H125" i="1"/>
  <c r="L122" i="1"/>
  <c r="E119" i="1"/>
  <c r="L119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58" i="1" l="1"/>
  <c r="L401" i="1"/>
  <c r="F21" i="1" s="1"/>
  <c r="J164" i="1"/>
  <c r="J161" i="1"/>
  <c r="J163" i="1"/>
  <c r="J172" i="1"/>
  <c r="J173" i="1"/>
  <c r="J170" i="1"/>
  <c r="L170" i="1" s="1"/>
  <c r="F176" i="1"/>
  <c r="L72" i="1"/>
  <c r="F8" i="1" s="1"/>
  <c r="F164" i="1"/>
  <c r="F163" i="1"/>
  <c r="F161" i="1"/>
  <c r="L292" i="1"/>
  <c r="F15" i="1" s="1"/>
  <c r="L125" i="1"/>
  <c r="F130" i="1"/>
  <c r="L130" i="1" s="1"/>
  <c r="L95" i="1"/>
  <c r="F9" i="1" s="1"/>
  <c r="L161" i="1" l="1"/>
  <c r="L163" i="1"/>
  <c r="L164" i="1"/>
  <c r="L162" i="1"/>
  <c r="F167" i="1"/>
  <c r="F177" i="1" s="1"/>
  <c r="L147" i="1"/>
  <c r="I131" i="1"/>
  <c r="I132" i="1"/>
  <c r="I137" i="1"/>
  <c r="I138" i="1"/>
  <c r="I139" i="1"/>
  <c r="I140" i="1"/>
  <c r="I141" i="1"/>
  <c r="I142" i="1"/>
  <c r="I143" i="1"/>
  <c r="I147" i="1"/>
  <c r="F147" i="1"/>
  <c r="G143" i="1"/>
  <c r="G142" i="1"/>
  <c r="F141" i="1"/>
  <c r="F139" i="1"/>
  <c r="F137" i="1"/>
  <c r="F132" i="1"/>
  <c r="J143" i="1" l="1"/>
  <c r="J131" i="1"/>
  <c r="J140" i="1"/>
  <c r="F131" i="1"/>
  <c r="G150" i="1"/>
  <c r="J137" i="1"/>
  <c r="L137" i="1" s="1"/>
  <c r="J132" i="1"/>
  <c r="L132" i="1" s="1"/>
  <c r="J138" i="1"/>
  <c r="J142" i="1"/>
  <c r="J147" i="1"/>
  <c r="F143" i="1"/>
  <c r="J141" i="1"/>
  <c r="L141" i="1" s="1"/>
  <c r="K142" i="1"/>
  <c r="K143" i="1"/>
  <c r="L143" i="1" s="1"/>
  <c r="F142" i="1"/>
  <c r="F138" i="1"/>
  <c r="F146" i="1" s="1"/>
  <c r="J139" i="1"/>
  <c r="L139" i="1" s="1"/>
  <c r="F140" i="1"/>
  <c r="L138" i="1" l="1"/>
  <c r="F136" i="1"/>
  <c r="F135" i="1"/>
  <c r="J135" i="1"/>
  <c r="J136" i="1"/>
  <c r="L131" i="1"/>
  <c r="F133" i="1"/>
  <c r="J133" i="1"/>
  <c r="J146" i="1"/>
  <c r="L140" i="1"/>
  <c r="L142" i="1"/>
  <c r="K150" i="1"/>
  <c r="J150" i="1" l="1"/>
  <c r="L133" i="1"/>
  <c r="F150" i="1"/>
  <c r="L136" i="1"/>
  <c r="L146" i="1"/>
  <c r="L135" i="1"/>
  <c r="L388" i="1"/>
  <c r="L385" i="1"/>
  <c r="L376" i="1"/>
  <c r="L369" i="1"/>
  <c r="L366" i="1"/>
  <c r="L363" i="1"/>
  <c r="L356" i="1"/>
  <c r="L353" i="1"/>
  <c r="L350" i="1"/>
  <c r="L347" i="1"/>
  <c r="L344" i="1"/>
  <c r="L338" i="1"/>
  <c r="L331" i="1"/>
  <c r="L325" i="1"/>
  <c r="L335" i="1"/>
  <c r="L297" i="1"/>
  <c r="L320" i="1" s="1"/>
  <c r="F16" i="1" s="1"/>
  <c r="L280" i="1"/>
  <c r="L202" i="1"/>
  <c r="L199" i="1"/>
  <c r="M150" i="1" l="1"/>
  <c r="L378" i="1"/>
  <c r="L150" i="1"/>
  <c r="L390" i="1"/>
  <c r="F20" i="1" s="1"/>
  <c r="L358" i="1"/>
  <c r="F18" i="1" s="1"/>
  <c r="L340" i="1"/>
  <c r="F17" i="1" s="1"/>
  <c r="F19" i="1"/>
  <c r="L204" i="1"/>
  <c r="F12" i="1" s="1"/>
  <c r="L152" i="1" l="1"/>
  <c r="F10" i="1" s="1"/>
  <c r="L254" i="1"/>
  <c r="L282" i="1" s="1"/>
  <c r="F14" i="1" s="1"/>
  <c r="L236" i="1"/>
  <c r="L230" i="1"/>
  <c r="L225" i="1"/>
  <c r="L220" i="1"/>
  <c r="L215" i="1"/>
  <c r="L247" i="1" l="1"/>
  <c r="F13" i="1" s="1"/>
  <c r="J174" i="1"/>
  <c r="K160" i="1"/>
  <c r="K159" i="1"/>
  <c r="L174" i="1" l="1"/>
  <c r="J176" i="1"/>
  <c r="L172" i="1"/>
  <c r="L173" i="1"/>
  <c r="L160" i="1"/>
  <c r="L167" i="1" s="1"/>
  <c r="K167" i="1"/>
  <c r="G176" i="1"/>
  <c r="K176" i="1"/>
  <c r="J167" i="1"/>
  <c r="K177" i="1" l="1"/>
  <c r="J177" i="1"/>
  <c r="L176" i="1"/>
  <c r="G167" i="1"/>
  <c r="G177" i="1" s="1"/>
  <c r="L185" i="1" l="1"/>
  <c r="F11" i="1" s="1"/>
  <c r="F22" i="1" s="1"/>
  <c r="F26" i="1" s="1"/>
  <c r="L177" i="1"/>
  <c r="L404" i="1" s="1"/>
</calcChain>
</file>

<file path=xl/sharedStrings.xml><?xml version="1.0" encoding="utf-8"?>
<sst xmlns="http://schemas.openxmlformats.org/spreadsheetml/2006/main" count="360" uniqueCount="261">
  <si>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</si>
  <si>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</si>
  <si>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</si>
  <si>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</si>
  <si>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</si>
  <si>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</si>
  <si>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</si>
  <si>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</si>
  <si>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</si>
  <si>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</si>
  <si>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</si>
  <si>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</si>
  <si>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</si>
  <si>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</si>
  <si>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</si>
  <si>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</si>
  <si>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</si>
  <si>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</si>
  <si>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</si>
  <si>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</si>
  <si>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</si>
  <si>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</si>
  <si>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</si>
  <si>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</si>
  <si>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</si>
  <si>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Assistant Director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</si>
  <si>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</si>
  <si>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</si>
  <si>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</si>
  <si>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</si>
  <si>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</si>
  <si>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</si>
  <si>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</si>
  <si>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</si>
  <si>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</si>
  <si>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Set Designer </t>
  </si>
  <si>
    <t xml:space="preserve">Fight Director </t>
  </si>
  <si>
    <t xml:space="preserve">Lighting Designer </t>
  </si>
  <si>
    <t xml:space="preserve">Sound Designer </t>
  </si>
  <si>
    <t xml:space="preserve">Costume Designer </t>
  </si>
  <si>
    <t xml:space="preserve">Music / Choreographer </t>
  </si>
  <si>
    <t xml:space="preserve">Music Supervisor </t>
  </si>
  <si>
    <t xml:space="preserve">Musical Director </t>
  </si>
  <si>
    <t xml:space="preserve">Rehearsal Pianist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</si>
  <si>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</si>
  <si>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</si>
  <si>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</si>
  <si>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</si>
  <si>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</si>
  <si>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</si>
  <si>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</si>
  <si>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</si>
  <si>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</si>
  <si>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</si>
  <si>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</si>
  <si>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</si>
  <si>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</si>
  <si>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</si>
  <si>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</si>
  <si>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</si>
  <si>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</si>
  <si>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</si>
  <si>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</si>
  <si>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</si>
  <si>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</si>
  <si>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</si>
  <si>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</si>
  <si>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</si>
  <si>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</si>
  <si>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Return to Vegas</t>
  </si>
  <si>
    <t>Venue</t>
  </si>
  <si>
    <t xml:space="preserve">Welly Club 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</si>
  <si>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</si>
  <si>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</si>
  <si>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</si>
  <si>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</si>
  <si>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</si>
  <si>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</si>
  <si>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</si>
  <si>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</si>
  <si>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</si>
  <si>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</si>
  <si>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</si>
  <si>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</si>
  <si>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</si>
  <si>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</si>
  <si>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</si>
  <si>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</si>
  <si>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</si>
  <si>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</si>
  <si>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</si>
  <si>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</si>
  <si>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</si>
  <si>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</si>
  <si>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</si>
  <si>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</si>
  <si>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</si>
  <si>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</si>
  <si>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</si>
  <si>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</si>
  <si>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</si>
  <si>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</si>
  <si>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</si>
  <si>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</si>
  <si>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</si>
  <si>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</si>
  <si>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</si>
  <si>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</si>
  <si>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</si>
  <si>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</si>
  <si>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</si>
  <si>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</si>
  <si>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</si>
  <si>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</si>
  <si>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</si>
  <si>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</si>
  <si>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</si>
  <si>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</si>
  <si>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</si>
  <si>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</si>
  <si>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</si>
  <si>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</si>
  <si>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</si>
  <si>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</si>
  <si>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</si>
  <si>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</si>
  <si>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</si>
  <si>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</si>
  <si>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</si>
  <si>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</si>
  <si>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</si>
  <si>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</si>
  <si>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</si>
  <si>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</si>
  <si>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</si>
  <si>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</si>
  <si>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</si>
  <si>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</si>
  <si>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</si>
  <si>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</si>
  <si>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</si>
  <si>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</si>
  <si>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</si>
  <si>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</si>
  <si>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</si>
  <si>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</si>
  <si>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</si>
  <si>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</si>
  <si>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</si>
  <si>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</si>
  <si>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</si>
  <si>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</si>
  <si>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</si>
  <si>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</si>
  <si>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</si>
  <si>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Deputy Wardrobe Supervisor 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</si>
  <si>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</si>
  <si>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</si>
  <si>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</si>
  <si>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</si>
  <si>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</si>
  <si>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</si>
  <si>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</si>
  <si>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</si>
  <si>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</si>
  <si>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</si>
  <si>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</si>
  <si>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</si>
  <si>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</si>
  <si>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</si>
  <si>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</si>
  <si>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</si>
  <si>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</si>
  <si>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</si>
  <si>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</si>
  <si>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</si>
  <si>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</si>
  <si>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</si>
  <si>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</si>
  <si>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</si>
  <si>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</si>
  <si>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</si>
  <si>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</si>
  <si>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</si>
  <si>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</si>
  <si>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</si>
  <si>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</si>
  <si>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</si>
  <si>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</si>
  <si>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</si>
  <si>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</si>
  <si>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</si>
  <si>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</si>
  <si>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TRAVEL?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</si>
  <si>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</si>
  <si>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</si>
  <si>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</si>
  <si>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</si>
  <si>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</si>
  <si>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 xml:space="preserve">Author </t>
  </si>
  <si>
    <t>Author  / Composer</t>
  </si>
  <si>
    <t>RG</t>
  </si>
  <si>
    <t>BC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</si>
  <si>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</si>
  <si>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</si>
  <si>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</si>
  <si>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</si>
  <si>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</si>
  <si>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</si>
  <si>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</si>
  <si>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</si>
  <si>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</si>
  <si>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</si>
  <si>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 xml:space="preserve">local wardrobe </t>
  </si>
  <si>
    <t>local crew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</si>
  <si>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</si>
  <si>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</si>
  <si>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</si>
  <si>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</si>
  <si>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</si>
  <si>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</si>
  <si>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</si>
  <si>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</si>
  <si>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</si>
  <si>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</si>
  <si>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</si>
  <si>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</si>
  <si>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</si>
  <si>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</si>
  <si>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</si>
  <si>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</si>
  <si>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</si>
  <si>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30 company (13 Co, 10 Crew, 7 Vols) x £30 per perf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</si>
  <si>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</si>
  <si>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</si>
  <si>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</si>
  <si>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</si>
  <si>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</si>
  <si>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</si>
  <si>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</si>
  <si>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 xml:space="preserve">LX &amp; AV Production </t>
  </si>
  <si>
    <t xml:space="preserve">LX &amp; AV Operator </t>
  </si>
  <si>
    <t>Set &amp; Props</t>
  </si>
  <si>
    <t>6 @ £50 per perf</t>
  </si>
  <si>
    <t>inc image generation</t>
  </si>
  <si>
    <t>av net per perf</t>
  </si>
  <si>
    <t>Autumn 16 R&amp;D</t>
  </si>
  <si>
    <t xml:space="preserve">Costume Supervisor </t>
  </si>
  <si>
    <t xml:space="preserve">Wardrobe Maintenance / Dresser </t>
  </si>
  <si>
    <t xml:space="preserve">Including Sunday payments </t>
  </si>
  <si>
    <t xml:space="preserve">5 show week </t>
  </si>
  <si>
    <t xml:space="preserve">Performers Salaries </t>
  </si>
  <si>
    <t xml:space="preserve">Start search for this space? </t>
  </si>
  <si>
    <t xml:space="preserve">Includes running physical </t>
  </si>
  <si>
    <t>Can we plug into existing Welly kit. CANS</t>
  </si>
  <si>
    <t xml:space="preserve">Radio mics! </t>
  </si>
  <si>
    <t xml:space="preserve">Instrument insurance </t>
  </si>
  <si>
    <t>Inclusive instrument hire</t>
  </si>
  <si>
    <t xml:space="preserve">Covered by CSM </t>
  </si>
  <si>
    <t xml:space="preserve">Crew / Instrument tech </t>
  </si>
  <si>
    <t xml:space="preserve">Instrument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</si>
</sst>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22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7"/>
  <sheetViews>
    <sheetView tabSelected="1" topLeftCell="A78" zoomScale="70" zoomScaleNormal="70" zoomScaleSheetLayoutView="130" workbookViewId="0">
      <selection activeCell="A255" sqref="A255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10.42578125" style="2" bestFit="1" customWidth="1"/>
    <col min="14" max="16384" width="9.140625" style="2"/>
  </cols>
  <sheetData>
    <row r="1" spans="1:6">
      <c r="A1" s="1" t="s">
        <v>68</v>
      </c>
      <c r="B1" s="1" t="s">
        <v>69</v>
      </c>
    </row>
    <row r="2" spans="1:6">
      <c r="A2" s="1" t="s">
        <v>70</v>
      </c>
      <c r="B2" s="1" t="s">
        <v>71</v>
      </c>
    </row>
    <row r="3" spans="1:6">
      <c r="A3" s="1" t="s">
        <v>72</v>
      </c>
      <c r="B3" s="3" t="s">
        <v>73</v>
      </c>
      <c r="C3" s="4"/>
    </row>
    <row r="4" spans="1:6">
      <c r="A4" s="1" t="s">
        <v>197</v>
      </c>
      <c r="B4" s="71">
        <v>5</v>
      </c>
      <c r="C4" s="77" t="s">
        <v>5</v>
      </c>
      <c r="D4" s="76">
        <v>8</v>
      </c>
      <c r="E4" s="30" t="s">
        <v>215</v>
      </c>
      <c r="F4" s="2">
        <v>200</v>
      </c>
    </row>
    <row r="5" spans="1:6">
      <c r="A5" s="1" t="s">
        <v>159</v>
      </c>
      <c r="B5" s="72">
        <v>4</v>
      </c>
      <c r="C5" s="77" t="s">
        <v>13</v>
      </c>
      <c r="D5" s="76">
        <v>5</v>
      </c>
      <c r="E5" s="30" t="s">
        <v>235</v>
      </c>
      <c r="F5" s="75">
        <f>B5*5</f>
        <v>20</v>
      </c>
    </row>
    <row r="6" spans="1:6">
      <c r="A6" s="1"/>
      <c r="B6" s="72"/>
      <c r="C6" s="77"/>
      <c r="D6" s="76"/>
      <c r="E6" s="30"/>
      <c r="F6" s="75"/>
    </row>
    <row r="7" spans="1:6">
      <c r="A7" s="1" t="s">
        <v>225</v>
      </c>
      <c r="B7" s="101" t="s">
        <v>226</v>
      </c>
      <c r="D7" s="76"/>
      <c r="E7" s="30"/>
      <c r="F7" s="77" t="s">
        <v>227</v>
      </c>
    </row>
    <row r="8" spans="1:6">
      <c r="A8" s="1"/>
      <c r="B8" s="102" t="str">
        <f>A28</f>
        <v xml:space="preserve">ZK101 - COMMISSIONING &amp; FEES </v>
      </c>
      <c r="D8" s="76"/>
      <c r="E8" s="30"/>
      <c r="F8" s="5">
        <f>L72</f>
        <v>7200</v>
      </c>
    </row>
    <row r="9" spans="1:6">
      <c r="A9" s="1"/>
      <c r="B9" s="102" t="str">
        <f>A75</f>
        <v xml:space="preserve">ZK102 - DEVELOPMENT &amp; R&amp;D </v>
      </c>
      <c r="D9" s="76"/>
      <c r="E9" s="30"/>
      <c r="F9" s="5">
        <f>L95</f>
        <v>3250</v>
      </c>
    </row>
    <row r="10" spans="1:6">
      <c r="A10" s="1"/>
      <c r="B10" s="102" t="str">
        <f>A97</f>
        <v xml:space="preserve">ZK103 - CREATIVE TEAM, PRODUCTION TEAM &amp; CONSULTANTS </v>
      </c>
      <c r="C10" s="77"/>
      <c r="D10" s="76"/>
      <c r="E10" s="30"/>
      <c r="F10" s="2">
        <f>L152</f>
        <v>104573</v>
      </c>
    </row>
    <row r="11" spans="1:6">
      <c r="A11" s="1"/>
      <c r="B11" s="102" t="str">
        <f>A154</f>
        <v xml:space="preserve">ZK104 - PERFORMERS AND MUSICIANS </v>
      </c>
      <c r="C11" s="77"/>
      <c r="D11" s="76"/>
      <c r="E11" s="30"/>
      <c r="F11" s="2">
        <f>L185</f>
        <v>87973.333333333328</v>
      </c>
    </row>
    <row r="12" spans="1:6">
      <c r="A12" s="1"/>
      <c r="B12" s="102" t="str">
        <f>A187</f>
        <v xml:space="preserve">ZK105 - REHEARSAL COSTS </v>
      </c>
      <c r="C12" s="77"/>
      <c r="D12" s="76"/>
      <c r="E12" s="30"/>
      <c r="F12" s="2">
        <f>L204</f>
        <v>2750</v>
      </c>
    </row>
    <row r="13" spans="1:6">
      <c r="A13" s="1"/>
      <c r="B13" s="102" t="str">
        <f>A207</f>
        <v xml:space="preserve">ZK106 - TECHNICAL &amp; PRODUCTION </v>
      </c>
      <c r="C13" s="77"/>
      <c r="D13" s="76"/>
      <c r="E13" s="30"/>
      <c r="F13" s="2">
        <f>L247</f>
        <v>49400</v>
      </c>
    </row>
    <row r="14" spans="1:6">
      <c r="A14" s="1"/>
      <c r="B14" s="102" t="str">
        <f>A249</f>
        <v xml:space="preserve">ZK107 - VENUE &amp; LOGISTICS </v>
      </c>
      <c r="C14" s="77"/>
      <c r="D14" s="76"/>
      <c r="E14" s="30"/>
      <c r="F14" s="2">
        <f>L282</f>
        <v>9750</v>
      </c>
    </row>
    <row r="15" spans="1:6">
      <c r="A15" s="1"/>
      <c r="B15" s="102" t="str">
        <f>A284</f>
        <v>ZK108 - PROGRAMME LEGAL &amp; DOCUMENTATION</v>
      </c>
      <c r="C15" s="77"/>
      <c r="D15" s="76"/>
      <c r="E15" s="30"/>
      <c r="F15" s="2">
        <f>L292</f>
        <v>1000</v>
      </c>
    </row>
    <row r="16" spans="1:6">
      <c r="A16" s="1"/>
      <c r="B16" s="102" t="str">
        <f>A294</f>
        <v>ZK109 - PROGRAMME MARKETING, DIGITAL &amp; COMMS</v>
      </c>
      <c r="C16" s="77"/>
      <c r="D16" s="76"/>
      <c r="E16" s="30"/>
      <c r="F16" s="2">
        <f>L320</f>
        <v>17500</v>
      </c>
    </row>
    <row r="17" spans="1:12">
      <c r="A17" s="1"/>
      <c r="B17" s="102" t="str">
        <f>A322</f>
        <v xml:space="preserve">ZK110 - PROGRAMME EDUCATION &amp; COMMUNITY ENGAGEMENT </v>
      </c>
      <c r="C17" s="77"/>
      <c r="D17" s="76"/>
      <c r="E17" s="30"/>
      <c r="F17" s="2">
        <f>L340</f>
        <v>2300</v>
      </c>
    </row>
    <row r="18" spans="1:12">
      <c r="A18" s="1"/>
      <c r="B18" s="102" t="str">
        <f>A342</f>
        <v xml:space="preserve">ZK111 - PROGRAMME VOLUNTEERING </v>
      </c>
      <c r="C18" s="77"/>
      <c r="D18" s="76"/>
      <c r="E18" s="30"/>
      <c r="F18" s="2">
        <f>L358</f>
        <v>0</v>
      </c>
    </row>
    <row r="19" spans="1:12">
      <c r="A19" s="1"/>
      <c r="B19" s="102" t="str">
        <f>A361</f>
        <v xml:space="preserve">ZK112 - ARTIST &amp; GUEST LIAISON </v>
      </c>
      <c r="C19" s="77"/>
      <c r="D19" s="76"/>
      <c r="E19" s="30"/>
      <c r="F19" s="2">
        <f>L378</f>
        <v>1100</v>
      </c>
    </row>
    <row r="20" spans="1:12">
      <c r="A20" s="1"/>
      <c r="B20" s="102" t="str">
        <f>A380</f>
        <v xml:space="preserve">ZK113 - RUNNING COSTS </v>
      </c>
      <c r="C20" s="77"/>
      <c r="D20" s="76"/>
      <c r="E20" s="30"/>
      <c r="F20" s="2">
        <f>L390</f>
        <v>0</v>
      </c>
    </row>
    <row r="21" spans="1:12">
      <c r="A21" s="1"/>
      <c r="B21" s="102" t="str">
        <f>A393</f>
        <v>ZK114 - ADMIN &amp; MISC</v>
      </c>
      <c r="C21" s="77"/>
      <c r="D21" s="76"/>
      <c r="E21" s="30"/>
      <c r="F21" s="2">
        <f>L401</f>
        <v>500</v>
      </c>
    </row>
    <row r="22" spans="1:12">
      <c r="A22" s="1"/>
      <c r="B22" s="101" t="s">
        <v>227</v>
      </c>
      <c r="C22" s="77"/>
      <c r="D22" s="103"/>
      <c r="E22" s="30"/>
      <c r="F22" s="30">
        <f>SUM(F8:F21)</f>
        <v>287296.33333333331</v>
      </c>
    </row>
    <row r="23" spans="1:12">
      <c r="A23" s="1"/>
      <c r="B23" s="102"/>
      <c r="C23" s="77"/>
      <c r="D23" s="76"/>
      <c r="E23" s="30"/>
      <c r="F23" s="75"/>
    </row>
    <row r="24" spans="1:12">
      <c r="A24" s="1"/>
      <c r="B24" s="102" t="s">
        <v>237</v>
      </c>
      <c r="C24" s="5">
        <v>4000</v>
      </c>
      <c r="D24" s="76" t="s">
        <v>245</v>
      </c>
      <c r="E24" s="30"/>
      <c r="F24" s="105">
        <f>C24*F5</f>
        <v>80000</v>
      </c>
    </row>
    <row r="25" spans="1:12">
      <c r="A25" s="1"/>
      <c r="B25" s="102" t="s">
        <v>238</v>
      </c>
      <c r="C25" s="77"/>
      <c r="D25" s="76"/>
      <c r="E25" s="30"/>
      <c r="F25" s="105">
        <v>200000</v>
      </c>
    </row>
    <row r="26" spans="1:12">
      <c r="A26" s="1"/>
      <c r="B26" s="102" t="s">
        <v>239</v>
      </c>
      <c r="C26" s="77"/>
      <c r="D26" s="76"/>
      <c r="E26" s="30"/>
      <c r="F26" s="106">
        <f>F25+F24-F22</f>
        <v>-7296.3333333333139</v>
      </c>
    </row>
    <row r="27" spans="1:12" ht="15.75" thickBot="1">
      <c r="A27" s="6"/>
      <c r="B27" s="6"/>
      <c r="C27" s="4"/>
      <c r="D27" s="76"/>
    </row>
    <row r="28" spans="1:12" ht="16.5" customHeight="1" thickBot="1">
      <c r="A28" s="116" t="s">
        <v>74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</row>
    <row r="29" spans="1:12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6.5" customHeight="1">
      <c r="A30" s="52"/>
      <c r="B30" s="32" t="s">
        <v>165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s="35" customFormat="1" ht="16.5" customHeight="1">
      <c r="A31" s="38"/>
      <c r="B31" s="32" t="s">
        <v>99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2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s="35" customFormat="1" ht="16.5" customHeight="1">
      <c r="A33" s="38"/>
      <c r="B33" s="32" t="s">
        <v>166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s="35" customFormat="1" ht="16.5" customHeight="1">
      <c r="A34" s="38"/>
      <c r="B34" s="32" t="s">
        <v>99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2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35" customFormat="1" ht="16.5" customHeight="1">
      <c r="A36" s="38"/>
      <c r="B36" s="32" t="s">
        <v>167</v>
      </c>
      <c r="C36" s="104">
        <v>0.09</v>
      </c>
      <c r="D36" s="38" t="s">
        <v>234</v>
      </c>
      <c r="E36" s="38"/>
      <c r="F36" s="38"/>
      <c r="G36" s="38"/>
      <c r="H36" s="38"/>
      <c r="I36" s="38"/>
      <c r="J36" s="38"/>
      <c r="K36" s="38"/>
      <c r="L36" s="38">
        <f>C36*F24</f>
        <v>7200</v>
      </c>
    </row>
    <row r="37" spans="1:12" s="35" customFormat="1" ht="16.5" customHeight="1">
      <c r="A37" s="38"/>
      <c r="B37" s="32" t="s">
        <v>98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7200</v>
      </c>
    </row>
    <row r="38" spans="1:12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s="35" customFormat="1" ht="16.5" customHeight="1">
      <c r="A39" s="38"/>
      <c r="B39" s="32" t="s">
        <v>168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35" customFormat="1" ht="16.5" customHeight="1">
      <c r="A40" s="38"/>
      <c r="B40" s="32" t="s">
        <v>99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2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s="35" customFormat="1" ht="16.5" customHeight="1">
      <c r="A42" s="38"/>
      <c r="B42" s="32" t="s">
        <v>169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5" customFormat="1" ht="16.5" customHeight="1">
      <c r="A43" s="38"/>
      <c r="B43" s="32" t="s">
        <v>98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2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5" customFormat="1" ht="16.5" customHeight="1">
      <c r="A45" s="38"/>
      <c r="B45" s="32" t="s">
        <v>170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s="35" customFormat="1" ht="16.5" customHeight="1">
      <c r="A46" s="38"/>
      <c r="B46" s="32" t="s">
        <v>98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2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s="35" customFormat="1" ht="15.75" customHeight="1">
      <c r="A48" s="38"/>
      <c r="B48" s="32" t="s">
        <v>171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98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172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98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173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98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174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98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98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176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98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2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s="35" customFormat="1" ht="16.5" customHeight="1">
      <c r="A66" s="38"/>
      <c r="B66" s="32" t="s">
        <v>177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s="35" customFormat="1" ht="16.5" customHeight="1">
      <c r="A67" s="38"/>
      <c r="B67" s="32" t="s">
        <v>98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2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s="35" customFormat="1" ht="16.5" customHeight="1">
      <c r="A69" s="38"/>
      <c r="B69" s="32" t="s">
        <v>178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35" customFormat="1" ht="16.5" customHeight="1">
      <c r="A70" s="38"/>
      <c r="B70" s="32" t="s">
        <v>98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2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s="1" customFormat="1" ht="16.5" customHeight="1">
      <c r="A72" s="40"/>
      <c r="B72" s="3" t="s">
        <v>179</v>
      </c>
      <c r="C72" s="40"/>
      <c r="D72" s="40"/>
      <c r="E72" s="40"/>
      <c r="F72" s="40"/>
      <c r="G72" s="40"/>
      <c r="H72" s="40"/>
      <c r="I72" s="40"/>
      <c r="J72" s="40"/>
      <c r="K72" s="40"/>
      <c r="L72" s="40">
        <f>SUM(L31+L34+L37+L40+L43+L46+L49+L52+L55+L58+L61+L64+L67+L70)</f>
        <v>7200</v>
      </c>
    </row>
    <row r="73" spans="1:12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5.75" thickBot="1">
      <c r="A74" s="6"/>
      <c r="B74" s="3"/>
      <c r="C74" s="4"/>
    </row>
    <row r="75" spans="1:12" ht="15.75" thickBot="1">
      <c r="A75" s="116" t="s">
        <v>75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8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5" customFormat="1">
      <c r="A77" s="40"/>
      <c r="B77" s="32" t="s">
        <v>180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s="35" customFormat="1">
      <c r="A78" s="40"/>
      <c r="B78" s="32" t="s">
        <v>98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0</v>
      </c>
    </row>
    <row r="79" spans="1:12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s="35" customFormat="1">
      <c r="A80" s="40"/>
      <c r="B80" s="32" t="s">
        <v>181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3" s="35" customFormat="1">
      <c r="A81" s="40"/>
      <c r="B81" s="32" t="s">
        <v>98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183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3" s="35" customFormat="1">
      <c r="A84" s="40"/>
      <c r="B84" s="32" t="s">
        <v>98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182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3" s="35" customFormat="1">
      <c r="A87" s="40"/>
      <c r="B87" s="32" t="s">
        <v>98</v>
      </c>
      <c r="C87" s="40"/>
      <c r="D87" s="40"/>
      <c r="E87" s="40"/>
      <c r="F87" s="40"/>
      <c r="G87" s="40"/>
      <c r="H87" s="40"/>
      <c r="I87" s="40"/>
      <c r="J87" s="40"/>
      <c r="K87" s="40"/>
      <c r="L87" s="40">
        <f>SUM(L86:L86)</f>
        <v>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184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3250</v>
      </c>
      <c r="M89" s="35" t="s">
        <v>246</v>
      </c>
    </row>
    <row r="90" spans="1:13" s="35" customFormat="1">
      <c r="A90" s="40"/>
      <c r="B90" s="32" t="s">
        <v>98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3250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185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98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3" t="s">
        <v>186</v>
      </c>
      <c r="C95" s="3"/>
      <c r="L95" s="1">
        <f>SUM(L78+L81+L84+L87+L90+L93)</f>
        <v>3250</v>
      </c>
    </row>
    <row r="96" spans="1:13" ht="15.75" thickBot="1">
      <c r="A96" s="4"/>
      <c r="B96" s="4"/>
      <c r="C96" s="4"/>
    </row>
    <row r="97" spans="1:13" ht="15.75" thickBot="1">
      <c r="A97" s="116" t="s">
        <v>50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8"/>
    </row>
    <row r="98" spans="1:13">
      <c r="A98" s="7" t="s">
        <v>27</v>
      </c>
      <c r="B98" s="8" t="s">
        <v>28</v>
      </c>
      <c r="C98" s="53"/>
      <c r="D98" s="53"/>
      <c r="E98" s="53"/>
      <c r="F98" s="53"/>
      <c r="G98" s="53"/>
      <c r="H98" s="53"/>
      <c r="I98" s="53"/>
      <c r="J98" s="53"/>
      <c r="K98" s="53"/>
      <c r="L98" s="9"/>
      <c r="M98" s="10"/>
    </row>
    <row r="99" spans="1:13">
      <c r="A99" s="4"/>
      <c r="B99" s="8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98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31</v>
      </c>
      <c r="C102" s="107" t="s">
        <v>198</v>
      </c>
      <c r="D102" s="108"/>
      <c r="E102" s="109" t="s">
        <v>45</v>
      </c>
      <c r="F102" s="109" t="s">
        <v>46</v>
      </c>
      <c r="G102" s="109" t="s">
        <v>47</v>
      </c>
      <c r="H102" s="109" t="s">
        <v>46</v>
      </c>
      <c r="I102" s="109" t="s">
        <v>48</v>
      </c>
      <c r="J102" s="110" t="s">
        <v>46</v>
      </c>
      <c r="K102" s="12"/>
      <c r="L102" s="12"/>
      <c r="M102" s="10"/>
    </row>
    <row r="103" spans="1:13">
      <c r="A103" s="26"/>
      <c r="B103" s="27" t="s">
        <v>151</v>
      </c>
      <c r="C103" s="111"/>
      <c r="E103" s="28">
        <v>5000</v>
      </c>
      <c r="F103" s="28"/>
      <c r="G103" s="28"/>
      <c r="H103" s="28"/>
      <c r="I103" s="28">
        <v>1000</v>
      </c>
      <c r="J103" s="112"/>
      <c r="K103" s="29"/>
      <c r="L103" s="29"/>
      <c r="M103" s="10"/>
    </row>
    <row r="104" spans="1:13">
      <c r="A104" s="4"/>
      <c r="B104" s="13" t="s">
        <v>33</v>
      </c>
      <c r="C104" s="69"/>
      <c r="E104" s="14">
        <v>3000</v>
      </c>
      <c r="F104" s="10"/>
      <c r="G104" s="10"/>
      <c r="H104" s="10"/>
      <c r="I104" s="10"/>
      <c r="J104" s="67"/>
      <c r="K104" s="10"/>
      <c r="L104" s="10"/>
      <c r="M104" s="10"/>
    </row>
    <row r="105" spans="1:13">
      <c r="A105" s="4"/>
      <c r="B105" s="13" t="s">
        <v>200</v>
      </c>
      <c r="C105" s="69" t="s">
        <v>201</v>
      </c>
      <c r="E105" s="14">
        <f>7500+2000</f>
        <v>9500</v>
      </c>
      <c r="F105" s="10"/>
      <c r="G105" s="10">
        <v>800</v>
      </c>
      <c r="H105" s="14"/>
      <c r="I105" s="14">
        <v>1000</v>
      </c>
      <c r="J105" s="67"/>
      <c r="K105" s="10"/>
      <c r="L105" s="10"/>
      <c r="M105" s="10"/>
    </row>
    <row r="106" spans="1:13">
      <c r="A106" s="4"/>
      <c r="B106" s="13" t="s">
        <v>199</v>
      </c>
      <c r="C106" s="69" t="s">
        <v>202</v>
      </c>
      <c r="E106" s="14">
        <v>7500</v>
      </c>
      <c r="F106" s="10"/>
      <c r="G106" s="10"/>
      <c r="H106" s="14"/>
      <c r="I106" s="14"/>
      <c r="J106" s="67"/>
      <c r="K106" s="10"/>
      <c r="L106" s="10"/>
      <c r="M106" s="10"/>
    </row>
    <row r="107" spans="1:13">
      <c r="A107" s="4"/>
      <c r="B107" s="13" t="s">
        <v>34</v>
      </c>
      <c r="C107" s="69" t="s">
        <v>202</v>
      </c>
      <c r="E107" s="14">
        <v>5000</v>
      </c>
      <c r="F107" s="10"/>
      <c r="G107" s="10">
        <v>800</v>
      </c>
      <c r="H107" s="14"/>
      <c r="I107" s="14">
        <v>1000</v>
      </c>
      <c r="J107" s="67"/>
      <c r="K107" s="10"/>
      <c r="L107" s="10"/>
      <c r="M107" s="10"/>
    </row>
    <row r="108" spans="1:13">
      <c r="A108" s="4"/>
      <c r="B108" s="13" t="s">
        <v>25</v>
      </c>
      <c r="C108" s="69"/>
      <c r="E108" s="14">
        <v>0</v>
      </c>
      <c r="F108" s="10"/>
      <c r="G108" s="10"/>
      <c r="H108" s="14"/>
      <c r="I108" s="14"/>
      <c r="J108" s="67"/>
      <c r="K108" s="10"/>
      <c r="L108" s="10"/>
      <c r="M108" s="10"/>
    </row>
    <row r="109" spans="1:13">
      <c r="A109" s="4"/>
      <c r="B109" s="13" t="s">
        <v>35</v>
      </c>
      <c r="C109" s="69"/>
      <c r="E109" s="14">
        <v>5000</v>
      </c>
      <c r="F109" s="10"/>
      <c r="G109" s="10">
        <v>600</v>
      </c>
      <c r="H109" s="14"/>
      <c r="I109" s="14">
        <v>600</v>
      </c>
      <c r="J109" s="67"/>
      <c r="K109" s="10"/>
      <c r="L109" s="10"/>
      <c r="M109" s="10"/>
    </row>
    <row r="110" spans="1:13">
      <c r="A110" s="4"/>
      <c r="B110" s="13" t="s">
        <v>36</v>
      </c>
      <c r="C110" s="69"/>
      <c r="E110" s="14">
        <v>700</v>
      </c>
      <c r="F110" s="10"/>
      <c r="G110" s="10">
        <v>300</v>
      </c>
      <c r="H110" s="14"/>
      <c r="I110" s="14"/>
      <c r="J110" s="67"/>
      <c r="K110" s="10"/>
      <c r="L110" s="10"/>
      <c r="M110" s="10"/>
    </row>
    <row r="111" spans="1:13">
      <c r="A111" s="4"/>
      <c r="B111" s="13" t="s">
        <v>37</v>
      </c>
      <c r="C111" s="69"/>
      <c r="E111" s="14">
        <v>3000</v>
      </c>
      <c r="F111" s="10"/>
      <c r="G111" s="10">
        <v>500</v>
      </c>
      <c r="H111" s="14"/>
      <c r="I111" s="14">
        <v>600</v>
      </c>
      <c r="J111" s="67"/>
      <c r="K111" s="10"/>
      <c r="L111" s="10"/>
      <c r="M111" s="10"/>
    </row>
    <row r="112" spans="1:13">
      <c r="A112" s="4"/>
      <c r="B112" s="13" t="s">
        <v>38</v>
      </c>
      <c r="C112" s="69"/>
      <c r="E112" s="14">
        <v>3000</v>
      </c>
      <c r="F112" s="10"/>
      <c r="G112" s="10">
        <v>500</v>
      </c>
      <c r="H112" s="14"/>
      <c r="I112" s="14">
        <v>600</v>
      </c>
      <c r="J112" s="67"/>
      <c r="K112" s="10"/>
      <c r="L112" s="10"/>
      <c r="M112" s="10"/>
    </row>
    <row r="113" spans="1:21">
      <c r="A113" s="4"/>
      <c r="B113" s="13" t="s">
        <v>39</v>
      </c>
      <c r="C113" s="69"/>
      <c r="E113" s="14">
        <v>0</v>
      </c>
      <c r="F113" s="10"/>
      <c r="G113" s="10"/>
      <c r="H113" s="14"/>
      <c r="I113" s="14"/>
      <c r="J113" s="67"/>
      <c r="K113" s="10"/>
      <c r="L113" s="10"/>
      <c r="M113" s="10"/>
    </row>
    <row r="114" spans="1:21">
      <c r="A114" s="4"/>
      <c r="B114" s="13" t="s">
        <v>40</v>
      </c>
      <c r="C114" s="69"/>
      <c r="E114" s="14">
        <v>700</v>
      </c>
      <c r="F114" s="10"/>
      <c r="G114" s="10">
        <v>300</v>
      </c>
      <c r="H114" s="14"/>
      <c r="I114" s="14">
        <v>400</v>
      </c>
      <c r="J114" s="67"/>
      <c r="K114" s="10"/>
      <c r="L114" s="10"/>
      <c r="M114" s="10"/>
    </row>
    <row r="115" spans="1:21">
      <c r="A115" s="4"/>
      <c r="B115" s="13" t="s">
        <v>41</v>
      </c>
      <c r="C115" s="69"/>
      <c r="E115" s="14">
        <v>0</v>
      </c>
      <c r="F115" s="10"/>
      <c r="G115" s="10"/>
      <c r="H115" s="14"/>
      <c r="I115" s="14"/>
      <c r="J115" s="67"/>
      <c r="K115" s="10"/>
      <c r="L115" s="10"/>
      <c r="M115" s="10"/>
    </row>
    <row r="116" spans="1:21">
      <c r="A116" s="4"/>
      <c r="B116" s="13" t="s">
        <v>42</v>
      </c>
      <c r="C116" s="69"/>
      <c r="E116" s="14">
        <v>2500</v>
      </c>
      <c r="F116" s="10"/>
      <c r="G116" s="10"/>
      <c r="H116" s="10"/>
      <c r="I116" s="10"/>
      <c r="J116" s="67"/>
      <c r="K116" s="10"/>
      <c r="L116" s="10"/>
      <c r="M116" s="10"/>
    </row>
    <row r="117" spans="1:21">
      <c r="A117" s="4"/>
      <c r="B117" s="13" t="s">
        <v>43</v>
      </c>
      <c r="C117" s="69"/>
      <c r="E117" s="14">
        <v>0</v>
      </c>
      <c r="F117" s="10"/>
      <c r="G117" s="10"/>
      <c r="H117" s="10"/>
      <c r="I117" s="10"/>
      <c r="J117" s="67"/>
      <c r="K117" s="10"/>
      <c r="L117" s="10"/>
      <c r="M117" s="10"/>
    </row>
    <row r="118" spans="1:21">
      <c r="A118" s="4"/>
      <c r="B118" s="13" t="s">
        <v>44</v>
      </c>
      <c r="C118" s="69"/>
      <c r="E118" s="14">
        <v>0</v>
      </c>
      <c r="F118" s="10"/>
      <c r="G118" s="10"/>
      <c r="H118" s="10"/>
      <c r="I118" s="10"/>
      <c r="J118" s="67"/>
      <c r="K118" s="10"/>
      <c r="L118" s="10"/>
      <c r="M118" s="10"/>
    </row>
    <row r="119" spans="1:21">
      <c r="A119" s="15"/>
      <c r="B119" s="16" t="s">
        <v>212</v>
      </c>
      <c r="C119" s="68"/>
      <c r="D119" s="113"/>
      <c r="E119" s="114">
        <f>SUM(E103:E118)</f>
        <v>44900</v>
      </c>
      <c r="F119" s="113"/>
      <c r="G119" s="114">
        <f>SUM(G103:G118)</f>
        <v>3800</v>
      </c>
      <c r="H119" s="113"/>
      <c r="I119" s="114">
        <f>SUM(I103:I118)</f>
        <v>5200</v>
      </c>
      <c r="J119" s="115"/>
      <c r="L119" s="18">
        <f>SUM(E119:I119)</f>
        <v>53900</v>
      </c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>
      <c r="A120" s="15"/>
      <c r="B120" s="16"/>
      <c r="C120" s="4"/>
      <c r="D120" s="10"/>
      <c r="E120" s="10"/>
      <c r="F120" s="10"/>
      <c r="G120" s="10"/>
      <c r="H120" s="10"/>
      <c r="I120" s="10"/>
      <c r="J120" s="10"/>
      <c r="K120" s="10"/>
      <c r="L120" s="1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5"/>
      <c r="B121" s="16" t="s">
        <v>148</v>
      </c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30" customFormat="1">
      <c r="A122" s="15"/>
      <c r="B122" s="16" t="s">
        <v>98</v>
      </c>
      <c r="C122" s="4"/>
      <c r="D122" s="18"/>
      <c r="E122" s="2"/>
      <c r="F122" s="2"/>
      <c r="G122" s="2"/>
      <c r="H122" s="2"/>
      <c r="I122" s="2"/>
      <c r="J122" s="2"/>
      <c r="K122" s="18"/>
      <c r="L122" s="18">
        <f>SUM(E122)</f>
        <v>0</v>
      </c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>
      <c r="A123" s="15"/>
      <c r="B123" s="16"/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47"/>
      <c r="B124" s="16" t="s">
        <v>149</v>
      </c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98</v>
      </c>
      <c r="C125" s="4"/>
      <c r="D125" s="10"/>
      <c r="E125" s="10"/>
      <c r="F125" s="10"/>
      <c r="G125" s="10"/>
      <c r="H125" s="10">
        <f>SUM(H103:H121)</f>
        <v>0</v>
      </c>
      <c r="I125" s="10"/>
      <c r="J125" s="10">
        <f>SUM(J103:J121)</f>
        <v>0</v>
      </c>
      <c r="K125" s="18"/>
      <c r="L125" s="18">
        <f>G125+I125</f>
        <v>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15"/>
      <c r="B126" s="16"/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C127" s="7"/>
      <c r="E127" s="7"/>
      <c r="F127" s="7"/>
      <c r="G127" s="7"/>
      <c r="H127" s="7"/>
      <c r="I127" s="7"/>
      <c r="J127" s="7"/>
      <c r="K127" s="12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7" t="s">
        <v>49</v>
      </c>
      <c r="B128" s="8" t="s">
        <v>28</v>
      </c>
      <c r="C128" s="119" t="s">
        <v>0</v>
      </c>
      <c r="D128" s="120"/>
      <c r="E128" s="120"/>
      <c r="F128" s="120"/>
      <c r="G128" s="121"/>
      <c r="H128" s="120" t="s">
        <v>1</v>
      </c>
      <c r="I128" s="120"/>
      <c r="J128" s="120"/>
      <c r="K128" s="121"/>
      <c r="L128" s="9" t="s">
        <v>30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30">
      <c r="A129" s="19"/>
      <c r="B129" s="16" t="s">
        <v>217</v>
      </c>
      <c r="C129" s="64" t="s">
        <v>216</v>
      </c>
      <c r="D129" s="11" t="s">
        <v>3</v>
      </c>
      <c r="E129" s="11" t="s">
        <v>161</v>
      </c>
      <c r="F129" s="11" t="s">
        <v>162</v>
      </c>
      <c r="G129" s="65" t="s">
        <v>211</v>
      </c>
      <c r="H129" s="11" t="s">
        <v>4</v>
      </c>
      <c r="I129" s="11" t="s">
        <v>163</v>
      </c>
      <c r="J129" s="11" t="s">
        <v>164</v>
      </c>
      <c r="K129" s="65" t="s">
        <v>211</v>
      </c>
      <c r="L129" s="11" t="s">
        <v>29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3" t="s">
        <v>20</v>
      </c>
      <c r="C130" s="66">
        <v>1</v>
      </c>
      <c r="D130" s="48">
        <f>$B$4</f>
        <v>5</v>
      </c>
      <c r="E130" s="10">
        <v>600</v>
      </c>
      <c r="F130" s="10">
        <f>SUM(C130*D130*E130)</f>
        <v>3000</v>
      </c>
      <c r="G130" s="67">
        <f>SUM(C130*D130*$F$4)</f>
        <v>1000</v>
      </c>
      <c r="H130" s="48">
        <f>$B$5</f>
        <v>4</v>
      </c>
      <c r="I130" s="10">
        <f>E130</f>
        <v>600</v>
      </c>
      <c r="J130" s="10">
        <f>SUM(C130*H130*I130)</f>
        <v>2400</v>
      </c>
      <c r="K130" s="67">
        <f>SUM(C130*H130*$F$4)</f>
        <v>800</v>
      </c>
      <c r="L130" s="10">
        <f>SUM(F130+G130+J130+K130)</f>
        <v>7200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B131" s="13" t="s">
        <v>152</v>
      </c>
      <c r="C131" s="66">
        <v>1</v>
      </c>
      <c r="D131" s="48">
        <f>$B$4</f>
        <v>5</v>
      </c>
      <c r="E131" s="10">
        <v>450</v>
      </c>
      <c r="F131" s="10">
        <f>SUM(C131*D131*E131)</f>
        <v>2250</v>
      </c>
      <c r="G131" s="67">
        <f t="shared" ref="G131:G132" si="0">SUM(C131*D131*$F$4)</f>
        <v>1000</v>
      </c>
      <c r="H131" s="48">
        <f>$B$5</f>
        <v>4</v>
      </c>
      <c r="I131" s="10">
        <f t="shared" ref="I131:I147" si="1">E131</f>
        <v>450</v>
      </c>
      <c r="J131" s="10">
        <f t="shared" ref="J131:J147" si="2">SUM(C131*H131*I131)</f>
        <v>1800</v>
      </c>
      <c r="K131" s="67">
        <f t="shared" ref="K131:K132" si="3">SUM(C131*H131*$F$4)</f>
        <v>800</v>
      </c>
      <c r="L131" s="10">
        <f t="shared" ref="L131:L132" si="4">SUM(F131+G131+J131+K131)</f>
        <v>5850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153</v>
      </c>
      <c r="C132" s="66">
        <v>1</v>
      </c>
      <c r="D132" s="48">
        <f>$B$4</f>
        <v>5</v>
      </c>
      <c r="E132" s="10">
        <v>400</v>
      </c>
      <c r="F132" s="10">
        <f>SUM(C132*D132*E132)</f>
        <v>2000</v>
      </c>
      <c r="G132" s="67">
        <f t="shared" si="0"/>
        <v>1000</v>
      </c>
      <c r="H132" s="48">
        <f>$B$5</f>
        <v>4</v>
      </c>
      <c r="I132" s="10">
        <f t="shared" si="1"/>
        <v>400</v>
      </c>
      <c r="J132" s="10">
        <f t="shared" si="2"/>
        <v>1600</v>
      </c>
      <c r="K132" s="67">
        <f t="shared" si="3"/>
        <v>800</v>
      </c>
      <c r="L132" s="10">
        <f t="shared" si="4"/>
        <v>5400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21</v>
      </c>
      <c r="C133" s="66"/>
      <c r="D133" s="78">
        <v>0.08</v>
      </c>
      <c r="E133" s="55"/>
      <c r="F133" s="90">
        <f>SUM(F130+F131+F132)*D133</f>
        <v>580</v>
      </c>
      <c r="G133" s="67"/>
      <c r="H133" s="48"/>
      <c r="I133" s="78">
        <v>0.05</v>
      </c>
      <c r="J133" s="10">
        <f>SUM(J130+J131+J132)*I133</f>
        <v>290</v>
      </c>
      <c r="K133" s="67"/>
      <c r="L133" s="10">
        <f>F133+J133</f>
        <v>870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22</v>
      </c>
      <c r="C134" s="66"/>
      <c r="D134" s="79">
        <v>0.13800000000000001</v>
      </c>
      <c r="E134" s="54"/>
      <c r="F134" s="10"/>
      <c r="G134" s="67"/>
      <c r="H134" s="48"/>
      <c r="I134" s="79">
        <v>0.13800000000000001</v>
      </c>
      <c r="J134" s="10"/>
      <c r="K134" s="67"/>
      <c r="L134" s="10"/>
      <c r="M134" s="17" t="s">
        <v>196</v>
      </c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154</v>
      </c>
      <c r="C135" s="66"/>
      <c r="D135" s="88">
        <f>1/12</f>
        <v>8.3333333333333329E-2</v>
      </c>
      <c r="E135" s="57"/>
      <c r="F135" s="10">
        <f>SUM(F130+F131+F132)*D135</f>
        <v>604.16666666666663</v>
      </c>
      <c r="G135" s="67"/>
      <c r="H135" s="48"/>
      <c r="I135" s="88">
        <f>1/12</f>
        <v>8.3333333333333329E-2</v>
      </c>
      <c r="J135" s="17">
        <f>SUM(J130+J131+J132)*I135</f>
        <v>483.33333333333331</v>
      </c>
      <c r="K135" s="67"/>
      <c r="L135" s="10">
        <f>SUM(F135+J135)</f>
        <v>1087.5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218</v>
      </c>
      <c r="C136" s="66"/>
      <c r="D136" s="89">
        <v>0.03</v>
      </c>
      <c r="E136" s="58"/>
      <c r="F136" s="90">
        <f>SUM(F130+F131+F132)*D136</f>
        <v>217.5</v>
      </c>
      <c r="G136" s="67"/>
      <c r="H136" s="48"/>
      <c r="I136" s="89">
        <v>0.03</v>
      </c>
      <c r="J136" s="10">
        <f>SUM(J130+J131+J132)*I136</f>
        <v>174</v>
      </c>
      <c r="K136" s="67"/>
      <c r="L136" s="10">
        <f>SUM(F136+J136)</f>
        <v>391.5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23</v>
      </c>
      <c r="C137" s="66">
        <v>1</v>
      </c>
      <c r="D137" s="48">
        <v>3</v>
      </c>
      <c r="E137" s="10">
        <v>1000</v>
      </c>
      <c r="F137" s="10">
        <f t="shared" ref="F137:F147" si="5">SUM(C137*D137*E137)</f>
        <v>3000</v>
      </c>
      <c r="G137" s="67">
        <f>SUM(C137*D137*$F$4)</f>
        <v>600</v>
      </c>
      <c r="H137" s="48">
        <v>0</v>
      </c>
      <c r="I137" s="10">
        <f t="shared" si="1"/>
        <v>1000</v>
      </c>
      <c r="J137" s="10">
        <f t="shared" si="2"/>
        <v>0</v>
      </c>
      <c r="K137" s="67">
        <f t="shared" ref="K137:K141" si="6">SUM(C137*H137*$F$4)</f>
        <v>0</v>
      </c>
      <c r="L137" s="10">
        <f t="shared" ref="L137:L141" si="7">SUM(F137+G137+J137+K137)</f>
        <v>3600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24</v>
      </c>
      <c r="C138" s="66">
        <v>1</v>
      </c>
      <c r="D138" s="48">
        <v>3</v>
      </c>
      <c r="E138" s="10">
        <v>600</v>
      </c>
      <c r="F138" s="10">
        <f t="shared" si="5"/>
        <v>1800</v>
      </c>
      <c r="G138" s="67">
        <f t="shared" ref="G138:G141" si="8">SUM(C138*D138*$F$4)</f>
        <v>600</v>
      </c>
      <c r="H138" s="48">
        <f t="shared" ref="H138:H145" si="9">$B$5</f>
        <v>4</v>
      </c>
      <c r="I138" s="10">
        <f t="shared" si="1"/>
        <v>600</v>
      </c>
      <c r="J138" s="10">
        <f t="shared" si="2"/>
        <v>2400</v>
      </c>
      <c r="K138" s="67">
        <f t="shared" si="6"/>
        <v>800</v>
      </c>
      <c r="L138" s="10">
        <f t="shared" si="7"/>
        <v>5600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240</v>
      </c>
      <c r="C139" s="66">
        <v>1</v>
      </c>
      <c r="D139" s="48">
        <v>3</v>
      </c>
      <c r="E139" s="10">
        <v>1000</v>
      </c>
      <c r="F139" s="10">
        <f t="shared" si="5"/>
        <v>3000</v>
      </c>
      <c r="G139" s="67">
        <f t="shared" si="8"/>
        <v>600</v>
      </c>
      <c r="H139" s="48">
        <v>0</v>
      </c>
      <c r="I139" s="10">
        <f t="shared" si="1"/>
        <v>1000</v>
      </c>
      <c r="J139" s="10">
        <f t="shared" si="2"/>
        <v>0</v>
      </c>
      <c r="K139" s="67">
        <f t="shared" si="6"/>
        <v>0</v>
      </c>
      <c r="L139" s="10">
        <f t="shared" si="7"/>
        <v>3600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241</v>
      </c>
      <c r="C140" s="66">
        <v>1</v>
      </c>
      <c r="D140" s="48">
        <v>2</v>
      </c>
      <c r="E140" s="10">
        <v>500</v>
      </c>
      <c r="F140" s="10">
        <f t="shared" si="5"/>
        <v>1000</v>
      </c>
      <c r="G140" s="67">
        <f t="shared" si="8"/>
        <v>400</v>
      </c>
      <c r="H140" s="48">
        <f t="shared" si="9"/>
        <v>4</v>
      </c>
      <c r="I140" s="10">
        <f t="shared" si="1"/>
        <v>500</v>
      </c>
      <c r="J140" s="10">
        <f t="shared" si="2"/>
        <v>2000</v>
      </c>
      <c r="K140" s="67">
        <f t="shared" si="6"/>
        <v>800</v>
      </c>
      <c r="L140" s="10">
        <f t="shared" si="7"/>
        <v>4200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247</v>
      </c>
      <c r="C141" s="66">
        <v>1</v>
      </c>
      <c r="D141" s="48">
        <f t="shared" ref="D141" si="10">$B$4</f>
        <v>5</v>
      </c>
      <c r="E141" s="10">
        <v>600</v>
      </c>
      <c r="F141" s="10">
        <f t="shared" si="5"/>
        <v>3000</v>
      </c>
      <c r="G141" s="67">
        <f t="shared" si="8"/>
        <v>1000</v>
      </c>
      <c r="H141" s="48">
        <v>1</v>
      </c>
      <c r="I141" s="10">
        <f t="shared" si="1"/>
        <v>600</v>
      </c>
      <c r="J141" s="10">
        <f t="shared" si="2"/>
        <v>600</v>
      </c>
      <c r="K141" s="67">
        <f t="shared" si="6"/>
        <v>200</v>
      </c>
      <c r="L141" s="10">
        <f t="shared" si="7"/>
        <v>4800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155</v>
      </c>
      <c r="C142" s="66">
        <v>0</v>
      </c>
      <c r="D142" s="48">
        <v>0</v>
      </c>
      <c r="E142" s="10">
        <v>0</v>
      </c>
      <c r="F142" s="10">
        <f t="shared" si="5"/>
        <v>0</v>
      </c>
      <c r="G142" s="67">
        <f t="shared" ref="G142:G143" si="11">SUM(C142*D142*200)</f>
        <v>0</v>
      </c>
      <c r="H142" s="48">
        <v>0</v>
      </c>
      <c r="I142" s="10">
        <f t="shared" si="1"/>
        <v>0</v>
      </c>
      <c r="J142" s="10">
        <f t="shared" si="2"/>
        <v>0</v>
      </c>
      <c r="K142" s="67">
        <f t="shared" ref="K142:K143" si="12">SUM(C142*H142*200)</f>
        <v>0</v>
      </c>
      <c r="L142" s="10">
        <f t="shared" ref="L142:L147" si="13">SUM(G142+K142)</f>
        <v>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156</v>
      </c>
      <c r="C143" s="66">
        <v>0</v>
      </c>
      <c r="D143" s="48">
        <v>0</v>
      </c>
      <c r="E143" s="10">
        <v>0</v>
      </c>
      <c r="F143" s="10">
        <f t="shared" si="5"/>
        <v>0</v>
      </c>
      <c r="G143" s="67">
        <f t="shared" si="11"/>
        <v>0</v>
      </c>
      <c r="H143" s="48">
        <v>0</v>
      </c>
      <c r="I143" s="10">
        <f t="shared" si="1"/>
        <v>0</v>
      </c>
      <c r="J143" s="10">
        <f t="shared" si="2"/>
        <v>0</v>
      </c>
      <c r="K143" s="67">
        <f t="shared" si="12"/>
        <v>0</v>
      </c>
      <c r="L143" s="10">
        <f t="shared" si="13"/>
        <v>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248</v>
      </c>
      <c r="C144" s="66">
        <v>1</v>
      </c>
      <c r="D144" s="48">
        <v>1</v>
      </c>
      <c r="E144" s="10">
        <v>500</v>
      </c>
      <c r="F144" s="10">
        <f t="shared" ref="F144:F145" si="14">SUM(C144*D144*E144)</f>
        <v>500</v>
      </c>
      <c r="G144" s="67"/>
      <c r="H144" s="48">
        <f t="shared" si="9"/>
        <v>4</v>
      </c>
      <c r="I144" s="10">
        <f t="shared" ref="I144:I145" si="15">E144</f>
        <v>500</v>
      </c>
      <c r="J144" s="10">
        <f t="shared" ref="J144:J145" si="16">SUM(C144*H144*I144)</f>
        <v>2000</v>
      </c>
      <c r="K144" s="67"/>
      <c r="L144" s="10">
        <f t="shared" ref="L144:L145" si="17">SUM(F144+G144+J144+K144)</f>
        <v>2500</v>
      </c>
      <c r="M144" s="17" t="s">
        <v>213</v>
      </c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259</v>
      </c>
      <c r="C145" s="66">
        <v>1</v>
      </c>
      <c r="D145" s="48">
        <v>1</v>
      </c>
      <c r="E145" s="10">
        <v>500</v>
      </c>
      <c r="F145" s="10">
        <f t="shared" si="14"/>
        <v>500</v>
      </c>
      <c r="G145" s="67"/>
      <c r="H145" s="48">
        <f t="shared" si="9"/>
        <v>4</v>
      </c>
      <c r="I145" s="10">
        <f t="shared" si="15"/>
        <v>500</v>
      </c>
      <c r="J145" s="10">
        <f t="shared" si="16"/>
        <v>2000</v>
      </c>
      <c r="K145" s="67"/>
      <c r="L145" s="10">
        <f t="shared" si="17"/>
        <v>2500</v>
      </c>
      <c r="M145" s="17" t="s">
        <v>214</v>
      </c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157</v>
      </c>
      <c r="C146" s="66"/>
      <c r="D146" s="78">
        <v>0.08</v>
      </c>
      <c r="E146" s="10"/>
      <c r="F146" s="10">
        <f>SUM(F137+F138+F139+F140+F141+F144+F145)*D146</f>
        <v>1024</v>
      </c>
      <c r="G146" s="67"/>
      <c r="H146" s="48"/>
      <c r="I146" s="78">
        <v>0.05</v>
      </c>
      <c r="J146" s="10">
        <f>SUM(J137+J138++J139+J140+J141)*I146</f>
        <v>250</v>
      </c>
      <c r="K146" s="67"/>
      <c r="L146" s="10">
        <f>SUM(F146+J146)</f>
        <v>1274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158</v>
      </c>
      <c r="C147" s="66"/>
      <c r="D147" s="48"/>
      <c r="E147" s="10"/>
      <c r="F147" s="10">
        <f t="shared" si="5"/>
        <v>0</v>
      </c>
      <c r="G147" s="67"/>
      <c r="H147" s="48"/>
      <c r="I147" s="10">
        <f t="shared" si="1"/>
        <v>0</v>
      </c>
      <c r="J147" s="10">
        <f t="shared" si="2"/>
        <v>0</v>
      </c>
      <c r="K147" s="67"/>
      <c r="L147" s="10">
        <f t="shared" si="13"/>
        <v>0</v>
      </c>
      <c r="M147" s="17" t="s">
        <v>196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34"/>
      <c r="B148" s="13" t="s">
        <v>203</v>
      </c>
      <c r="C148" s="73">
        <f>SUM(C130:C147)</f>
        <v>10</v>
      </c>
      <c r="D148" s="10"/>
      <c r="E148" s="10">
        <v>90</v>
      </c>
      <c r="G148" s="10">
        <f>C148*E148</f>
        <v>900</v>
      </c>
      <c r="H148" s="10"/>
      <c r="I148" s="10">
        <v>90</v>
      </c>
      <c r="K148" s="67">
        <f>I148*C148</f>
        <v>900</v>
      </c>
      <c r="L148" s="10">
        <f>SUM(K148+G148)</f>
        <v>1800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34"/>
      <c r="B149" s="13" t="s">
        <v>150</v>
      </c>
      <c r="C149" s="70"/>
      <c r="D149" s="10"/>
      <c r="E149" s="10"/>
      <c r="F149" s="10"/>
      <c r="G149" s="67"/>
      <c r="H149" s="10"/>
      <c r="I149" s="10"/>
      <c r="J149" s="10"/>
      <c r="K149" s="67"/>
      <c r="L149" s="1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30" customFormat="1">
      <c r="A150" s="15"/>
      <c r="B150" s="97" t="s">
        <v>98</v>
      </c>
      <c r="C150" s="98"/>
      <c r="D150" s="99"/>
      <c r="E150" s="99"/>
      <c r="F150" s="99">
        <f>SUM(F130:F148)</f>
        <v>22475.666666666664</v>
      </c>
      <c r="G150" s="100">
        <f>SUM(G130:G148)</f>
        <v>7100</v>
      </c>
      <c r="H150" s="99"/>
      <c r="I150" s="99"/>
      <c r="J150" s="99">
        <f>SUM(J130:J148)</f>
        <v>15997.333333333332</v>
      </c>
      <c r="K150" s="100">
        <f>SUM(K130:K148)</f>
        <v>5100</v>
      </c>
      <c r="L150" s="99">
        <f>SUM(E150:K150)</f>
        <v>50673</v>
      </c>
      <c r="M150" s="23">
        <f>SUM(L130:L148)</f>
        <v>50673</v>
      </c>
      <c r="N150" s="23"/>
      <c r="O150" s="23"/>
      <c r="P150" s="23"/>
      <c r="Q150" s="23"/>
      <c r="R150" s="23"/>
      <c r="S150" s="23"/>
      <c r="T150" s="23"/>
      <c r="U150" s="23"/>
    </row>
    <row r="151" spans="1:21">
      <c r="A151" s="15"/>
      <c r="B151" s="16"/>
      <c r="C151" s="4"/>
      <c r="D151" s="10"/>
      <c r="E151" s="10"/>
      <c r="F151" s="10"/>
      <c r="G151" s="10"/>
      <c r="H151" s="10"/>
      <c r="I151" s="10"/>
      <c r="J151" s="10"/>
      <c r="K151" s="10"/>
      <c r="L151" s="1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15"/>
      <c r="B152" s="16" t="s">
        <v>90</v>
      </c>
      <c r="C152" s="4"/>
      <c r="D152" s="10"/>
      <c r="E152" s="10"/>
      <c r="F152" s="10"/>
      <c r="G152" s="10"/>
      <c r="H152" s="10"/>
      <c r="I152" s="10"/>
      <c r="J152" s="18"/>
      <c r="K152" s="18"/>
      <c r="L152" s="18">
        <f>SUM(L119+L150)</f>
        <v>104573</v>
      </c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5.75" thickBot="1">
      <c r="A153" s="15"/>
      <c r="B153" s="16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5.75" thickBot="1">
      <c r="A154" s="116" t="s">
        <v>51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8"/>
      <c r="M154" s="10"/>
    </row>
    <row r="155" spans="1:2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10"/>
    </row>
    <row r="156" spans="1:21">
      <c r="A156" s="7" t="s">
        <v>49</v>
      </c>
      <c r="B156" s="8" t="s">
        <v>28</v>
      </c>
      <c r="C156" s="119" t="s">
        <v>0</v>
      </c>
      <c r="D156" s="120"/>
      <c r="E156" s="120"/>
      <c r="F156" s="120"/>
      <c r="G156" s="121"/>
      <c r="H156" s="119" t="s">
        <v>1</v>
      </c>
      <c r="I156" s="120"/>
      <c r="J156" s="120"/>
      <c r="K156" s="121"/>
      <c r="L156" s="9" t="s">
        <v>30</v>
      </c>
      <c r="M156" s="17" t="s">
        <v>249</v>
      </c>
      <c r="N156" s="17"/>
      <c r="O156" s="17"/>
      <c r="P156" s="17"/>
      <c r="Q156" s="17"/>
      <c r="R156" s="17"/>
      <c r="S156" s="17"/>
      <c r="T156" s="17"/>
      <c r="U156" s="17"/>
    </row>
    <row r="157" spans="1:21" ht="30">
      <c r="A157" s="19"/>
      <c r="B157" s="8" t="s">
        <v>251</v>
      </c>
      <c r="C157" s="64" t="s">
        <v>2</v>
      </c>
      <c r="D157" s="11" t="s">
        <v>3</v>
      </c>
      <c r="E157" s="11" t="s">
        <v>191</v>
      </c>
      <c r="F157" s="11" t="s">
        <v>190</v>
      </c>
      <c r="G157" s="65" t="s">
        <v>160</v>
      </c>
      <c r="H157" s="64" t="s">
        <v>4</v>
      </c>
      <c r="I157" s="11" t="s">
        <v>163</v>
      </c>
      <c r="J157" s="11" t="s">
        <v>162</v>
      </c>
      <c r="K157" s="65" t="s">
        <v>160</v>
      </c>
      <c r="L157" s="11" t="s">
        <v>29</v>
      </c>
      <c r="M157" s="17" t="s">
        <v>250</v>
      </c>
      <c r="N157" s="17"/>
      <c r="O157" s="17"/>
      <c r="P157" s="17"/>
      <c r="Q157" s="17"/>
      <c r="R157" s="17"/>
      <c r="S157" s="17"/>
      <c r="T157" s="17"/>
      <c r="U157" s="17"/>
    </row>
    <row r="158" spans="1:21">
      <c r="A158" s="19"/>
      <c r="B158" s="19" t="s">
        <v>5</v>
      </c>
      <c r="C158" s="85">
        <f>$D$4</f>
        <v>8</v>
      </c>
      <c r="D158" s="48">
        <f t="shared" ref="D158:D160" si="18">$B$4</f>
        <v>5</v>
      </c>
      <c r="E158" s="17">
        <v>500</v>
      </c>
      <c r="F158" s="17">
        <f>C158*D158*E158</f>
        <v>20000</v>
      </c>
      <c r="G158" s="81">
        <f>C158*D158*$F$4</f>
        <v>8000</v>
      </c>
      <c r="H158" s="48">
        <f t="shared" ref="H158:H160" si="19">$B$5</f>
        <v>4</v>
      </c>
      <c r="I158" s="17">
        <f>500</f>
        <v>500</v>
      </c>
      <c r="J158" s="17">
        <f>C158*H158*I158</f>
        <v>16000</v>
      </c>
      <c r="K158" s="81">
        <f>SUM(C158*H158*$F$4)</f>
        <v>6400</v>
      </c>
      <c r="L158" s="17">
        <f>SUM(F158+G158+J158+K158)</f>
        <v>50400</v>
      </c>
      <c r="M158" s="17" t="s">
        <v>257</v>
      </c>
      <c r="N158" s="17"/>
      <c r="O158" s="17"/>
      <c r="P158" s="17"/>
      <c r="Q158" s="17"/>
      <c r="R158" s="17"/>
      <c r="S158" s="17"/>
      <c r="T158" s="17"/>
      <c r="U158" s="17"/>
    </row>
    <row r="159" spans="1:21">
      <c r="A159" s="19"/>
      <c r="B159" s="19" t="s">
        <v>6</v>
      </c>
      <c r="C159" s="85">
        <v>0</v>
      </c>
      <c r="D159" s="48">
        <f t="shared" si="18"/>
        <v>5</v>
      </c>
      <c r="E159" s="17">
        <v>60</v>
      </c>
      <c r="F159" s="17">
        <f>C159*D159*E159</f>
        <v>0</v>
      </c>
      <c r="G159" s="81">
        <f t="shared" ref="G159:G160" si="20">C159*D159*200</f>
        <v>0</v>
      </c>
      <c r="H159" s="48">
        <f t="shared" si="19"/>
        <v>4</v>
      </c>
      <c r="I159" s="17">
        <v>60</v>
      </c>
      <c r="J159" s="17">
        <f t="shared" ref="J159:J160" si="21">C159*H159*I159</f>
        <v>0</v>
      </c>
      <c r="K159" s="81">
        <f t="shared" ref="K159:K160" si="22">SUM(C159*H159*I159)</f>
        <v>0</v>
      </c>
      <c r="L159" s="17" t="s">
        <v>192</v>
      </c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5.75" customHeight="1">
      <c r="A160" s="19"/>
      <c r="B160" s="19" t="s">
        <v>7</v>
      </c>
      <c r="C160" s="85">
        <v>0</v>
      </c>
      <c r="D160" s="48">
        <f t="shared" si="18"/>
        <v>5</v>
      </c>
      <c r="E160" s="17">
        <v>37</v>
      </c>
      <c r="F160" s="17">
        <f>C160*D160*E160</f>
        <v>0</v>
      </c>
      <c r="G160" s="81">
        <f t="shared" si="20"/>
        <v>0</v>
      </c>
      <c r="H160" s="48">
        <f t="shared" si="19"/>
        <v>4</v>
      </c>
      <c r="I160" s="17">
        <v>37</v>
      </c>
      <c r="J160" s="17">
        <f t="shared" si="21"/>
        <v>0</v>
      </c>
      <c r="K160" s="81">
        <f t="shared" si="22"/>
        <v>0</v>
      </c>
      <c r="L160" s="17">
        <f>SUM(G160+K160)</f>
        <v>0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9"/>
      <c r="B161" s="19" t="s">
        <v>8</v>
      </c>
      <c r="C161" s="85"/>
      <c r="D161" s="78">
        <v>0.08</v>
      </c>
      <c r="E161" s="55"/>
      <c r="F161" s="90">
        <f>SUM(F158+F159+F160)*D161</f>
        <v>1600</v>
      </c>
      <c r="G161" s="81"/>
      <c r="H161" s="80"/>
      <c r="I161" s="78">
        <v>0.05</v>
      </c>
      <c r="J161" s="55">
        <f>SUM(J158+J159+J160)*I161</f>
        <v>800</v>
      </c>
      <c r="K161" s="81"/>
      <c r="L161" s="17">
        <f t="shared" ref="L161:L166" si="23">SUM(F161+J161)</f>
        <v>2400</v>
      </c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59"/>
      <c r="B162" s="19" t="s">
        <v>10</v>
      </c>
      <c r="C162" s="85"/>
      <c r="D162" s="79">
        <v>0.13800000000000001</v>
      </c>
      <c r="E162" s="54"/>
      <c r="F162" s="60"/>
      <c r="G162" s="81"/>
      <c r="H162" s="80"/>
      <c r="I162" s="79">
        <v>0.13800000000000001</v>
      </c>
      <c r="J162" s="17"/>
      <c r="K162" s="81"/>
      <c r="L162" s="17">
        <f t="shared" si="23"/>
        <v>0</v>
      </c>
      <c r="M162" s="17" t="s">
        <v>196</v>
      </c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61"/>
      <c r="B163" s="19" t="s">
        <v>9</v>
      </c>
      <c r="C163" s="85"/>
      <c r="D163" s="88">
        <f>1/12</f>
        <v>8.3333333333333329E-2</v>
      </c>
      <c r="E163" s="62"/>
      <c r="F163" s="60">
        <f>SUM(F158:F160)*D163</f>
        <v>1666.6666666666665</v>
      </c>
      <c r="G163" s="81"/>
      <c r="H163" s="80"/>
      <c r="I163" s="88">
        <f>1/12</f>
        <v>8.3333333333333329E-2</v>
      </c>
      <c r="J163" s="17">
        <f>SUM(J158:J160)*I163</f>
        <v>1333.3333333333333</v>
      </c>
      <c r="K163" s="81"/>
      <c r="L163" s="17">
        <f t="shared" si="23"/>
        <v>3000</v>
      </c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63"/>
      <c r="B164" s="19" t="s">
        <v>219</v>
      </c>
      <c r="C164" s="85"/>
      <c r="D164" s="89">
        <v>0.03</v>
      </c>
      <c r="E164" s="17"/>
      <c r="F164" s="17">
        <f>SUM(F158+F159+F160)*D164</f>
        <v>600</v>
      </c>
      <c r="G164" s="81"/>
      <c r="H164" s="80"/>
      <c r="I164" s="89">
        <v>0.03</v>
      </c>
      <c r="J164" s="17">
        <f>SUM(J158:J160)*I164</f>
        <v>480</v>
      </c>
      <c r="K164" s="81"/>
      <c r="L164" s="17">
        <f t="shared" si="23"/>
        <v>1080</v>
      </c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9"/>
      <c r="B165" s="19" t="s">
        <v>11</v>
      </c>
      <c r="C165" s="85">
        <f t="shared" ref="C165:C166" si="24">$D$4</f>
        <v>8</v>
      </c>
      <c r="D165" s="48">
        <v>5</v>
      </c>
      <c r="E165" s="17">
        <v>10</v>
      </c>
      <c r="F165" s="17">
        <f>C165*E165*D165</f>
        <v>400</v>
      </c>
      <c r="G165" s="81"/>
      <c r="H165" s="48">
        <f t="shared" ref="H165:H166" si="25">$B$5</f>
        <v>4</v>
      </c>
      <c r="I165" s="17">
        <v>10</v>
      </c>
      <c r="J165" s="17">
        <f>C165*I165*H165</f>
        <v>320</v>
      </c>
      <c r="K165" s="81"/>
      <c r="L165" s="17">
        <f t="shared" si="23"/>
        <v>720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20"/>
      <c r="B166" s="19" t="s">
        <v>12</v>
      </c>
      <c r="C166" s="85">
        <f t="shared" si="24"/>
        <v>8</v>
      </c>
      <c r="D166" s="48"/>
      <c r="E166" s="17">
        <v>90</v>
      </c>
      <c r="F166" s="17">
        <f t="shared" ref="F166" si="26">C166*E166</f>
        <v>720</v>
      </c>
      <c r="G166" s="81"/>
      <c r="H166" s="48">
        <f t="shared" si="25"/>
        <v>4</v>
      </c>
      <c r="I166" s="17">
        <v>90</v>
      </c>
      <c r="J166" s="17">
        <f>C166*I166</f>
        <v>720</v>
      </c>
      <c r="K166" s="81"/>
      <c r="L166" s="17">
        <f t="shared" si="23"/>
        <v>1440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9"/>
      <c r="B167" s="91" t="s">
        <v>221</v>
      </c>
      <c r="C167" s="92"/>
      <c r="D167" s="93"/>
      <c r="E167" s="94"/>
      <c r="F167" s="94">
        <f>SUM(F158:F166)</f>
        <v>24986.666666666668</v>
      </c>
      <c r="G167" s="95">
        <f>SUM(G158:G166)</f>
        <v>8000</v>
      </c>
      <c r="H167" s="96"/>
      <c r="I167" s="94"/>
      <c r="J167" s="94">
        <f>SUM(J158:J166)</f>
        <v>19653.333333333332</v>
      </c>
      <c r="K167" s="95">
        <f>SUM(K158:K166)</f>
        <v>6400</v>
      </c>
      <c r="L167" s="94">
        <f>SUM(L158:L166)</f>
        <v>59040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9"/>
      <c r="B168" s="19"/>
      <c r="C168" s="85"/>
      <c r="D168" s="55"/>
      <c r="E168" s="17"/>
      <c r="F168" s="17"/>
      <c r="G168" s="81"/>
      <c r="H168" s="56"/>
      <c r="I168" s="17"/>
      <c r="J168" s="17"/>
      <c r="K168" s="81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 t="s">
        <v>13</v>
      </c>
      <c r="C169" s="85">
        <v>5</v>
      </c>
      <c r="D169" s="48">
        <f>$B$4-2</f>
        <v>3</v>
      </c>
      <c r="E169" s="17">
        <v>500</v>
      </c>
      <c r="F169" s="17">
        <f>C169*D169*E169</f>
        <v>7500</v>
      </c>
      <c r="G169" s="81">
        <f>C169*D169*$F$4</f>
        <v>3000</v>
      </c>
      <c r="H169" s="48">
        <f t="shared" ref="H169" si="27">$B$5</f>
        <v>4</v>
      </c>
      <c r="I169" s="17">
        <v>500</v>
      </c>
      <c r="J169" s="17">
        <f>C169*H169*I169</f>
        <v>10000</v>
      </c>
      <c r="K169" s="81">
        <f>SUM(C169*H169*$F$4)</f>
        <v>4000</v>
      </c>
      <c r="L169" s="17">
        <f>SUM(F169+G169+J169+K169)</f>
        <v>24500</v>
      </c>
      <c r="M169" s="17" t="s">
        <v>236</v>
      </c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 t="s">
        <v>14</v>
      </c>
      <c r="C170" s="85"/>
      <c r="D170" s="78">
        <v>0.08</v>
      </c>
      <c r="E170" s="55"/>
      <c r="F170" s="17">
        <f>F169*D170</f>
        <v>600</v>
      </c>
      <c r="G170" s="81"/>
      <c r="H170" s="80"/>
      <c r="I170" s="78">
        <v>0.05</v>
      </c>
      <c r="J170" s="17">
        <f>J169*I170</f>
        <v>500</v>
      </c>
      <c r="K170" s="81"/>
      <c r="L170" s="17">
        <f t="shared" ref="L170:L175" si="28">SUM(F170+J170)</f>
        <v>1100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16</v>
      </c>
      <c r="C171" s="85"/>
      <c r="D171" s="79">
        <v>0.13800000000000001</v>
      </c>
      <c r="E171" s="54"/>
      <c r="F171" s="17"/>
      <c r="G171" s="81"/>
      <c r="H171" s="80"/>
      <c r="I171" s="79">
        <v>0.13800000000000001</v>
      </c>
      <c r="J171" s="17"/>
      <c r="K171" s="81"/>
      <c r="L171" s="17">
        <f t="shared" si="28"/>
        <v>0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15</v>
      </c>
      <c r="C172" s="85"/>
      <c r="D172" s="88">
        <f>1/12</f>
        <v>8.3333333333333329E-2</v>
      </c>
      <c r="E172" s="62"/>
      <c r="F172" s="17">
        <f>F169*D172</f>
        <v>625</v>
      </c>
      <c r="G172" s="81"/>
      <c r="H172" s="80"/>
      <c r="I172" s="88">
        <f>1/12</f>
        <v>8.3333333333333329E-2</v>
      </c>
      <c r="J172" s="17">
        <f>J169*I172</f>
        <v>833.33333333333326</v>
      </c>
      <c r="K172" s="81"/>
      <c r="L172" s="17">
        <f t="shared" si="28"/>
        <v>1458.3333333333333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220</v>
      </c>
      <c r="C173" s="85"/>
      <c r="D173" s="89">
        <v>0.03</v>
      </c>
      <c r="E173" s="17"/>
      <c r="F173" s="17">
        <f>SUM(F169*D173)</f>
        <v>225</v>
      </c>
      <c r="G173" s="81"/>
      <c r="H173" s="80"/>
      <c r="I173" s="89">
        <v>0.03</v>
      </c>
      <c r="J173" s="17">
        <f>SUM(J169*I173)</f>
        <v>300</v>
      </c>
      <c r="K173" s="81"/>
      <c r="L173" s="17">
        <f t="shared" si="28"/>
        <v>525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17</v>
      </c>
      <c r="C174" s="85">
        <v>5</v>
      </c>
      <c r="D174" s="48"/>
      <c r="E174" s="17">
        <v>90</v>
      </c>
      <c r="F174" s="17">
        <f t="shared" ref="F174:F175" si="29">C174*E174</f>
        <v>450</v>
      </c>
      <c r="G174" s="81"/>
      <c r="H174" s="48">
        <f t="shared" ref="H174:H175" si="30">$B$5</f>
        <v>4</v>
      </c>
      <c r="I174" s="17">
        <v>90</v>
      </c>
      <c r="J174" s="17">
        <f t="shared" ref="J174" si="31">C174*I174</f>
        <v>450</v>
      </c>
      <c r="K174" s="81"/>
      <c r="L174" s="17">
        <f t="shared" si="28"/>
        <v>900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21"/>
      <c r="B175" s="19" t="s">
        <v>18</v>
      </c>
      <c r="C175" s="85">
        <v>5</v>
      </c>
      <c r="D175" s="55"/>
      <c r="E175" s="17">
        <v>50</v>
      </c>
      <c r="F175" s="17">
        <f t="shared" si="29"/>
        <v>250</v>
      </c>
      <c r="G175" s="81"/>
      <c r="H175" s="48">
        <f t="shared" si="30"/>
        <v>4</v>
      </c>
      <c r="I175" s="17">
        <v>50</v>
      </c>
      <c r="J175" s="17">
        <f>I175*H175</f>
        <v>200</v>
      </c>
      <c r="K175" s="81"/>
      <c r="L175" s="17">
        <f t="shared" si="28"/>
        <v>450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22"/>
      <c r="B176" s="91" t="s">
        <v>19</v>
      </c>
      <c r="C176" s="92"/>
      <c r="D176" s="93"/>
      <c r="E176" s="94"/>
      <c r="F176" s="94">
        <f>SUM(F169:F175)</f>
        <v>9650</v>
      </c>
      <c r="G176" s="95">
        <f>SUM(G169:G174)</f>
        <v>3000</v>
      </c>
      <c r="H176" s="96"/>
      <c r="I176" s="94"/>
      <c r="J176" s="94">
        <f>SUM(J169:J175)</f>
        <v>12283.333333333334</v>
      </c>
      <c r="K176" s="95">
        <f>SUM(K169:K175)</f>
        <v>4000</v>
      </c>
      <c r="L176" s="94">
        <f>SUM(L169:L175)</f>
        <v>28933.333333333332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12"/>
      <c r="B177" s="12" t="s">
        <v>98</v>
      </c>
      <c r="C177" s="86"/>
      <c r="D177" s="87"/>
      <c r="E177" s="83"/>
      <c r="F177" s="84">
        <f>SUM(F167+F176)</f>
        <v>34636.666666666672</v>
      </c>
      <c r="G177" s="84">
        <f>SUM(G167+G176)</f>
        <v>11000</v>
      </c>
      <c r="H177" s="82"/>
      <c r="I177" s="83"/>
      <c r="J177" s="84">
        <f>SUM(J167+J176)</f>
        <v>31936.666666666664</v>
      </c>
      <c r="K177" s="84">
        <f>SUM(K167+K176)</f>
        <v>10400</v>
      </c>
      <c r="L177" s="23">
        <f>SUM(F177:K177)</f>
        <v>87973.333333333343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2"/>
      <c r="B178" s="12"/>
      <c r="C178" s="12"/>
      <c r="D178" s="23"/>
      <c r="E178" s="23"/>
      <c r="F178" s="23"/>
      <c r="G178" s="23"/>
      <c r="H178" s="23"/>
      <c r="I178" s="23"/>
      <c r="J178" s="23"/>
      <c r="K178" s="23"/>
      <c r="L178" s="23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 t="s">
        <v>187</v>
      </c>
      <c r="C179" s="12"/>
      <c r="D179" s="23"/>
      <c r="E179" s="23"/>
      <c r="F179" s="23"/>
      <c r="G179" s="23"/>
      <c r="H179" s="23"/>
      <c r="I179" s="23"/>
      <c r="J179" s="23"/>
      <c r="K179" s="23"/>
      <c r="L179" s="23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 t="s">
        <v>98</v>
      </c>
      <c r="C180" s="12"/>
      <c r="D180" s="23"/>
      <c r="E180" s="23"/>
      <c r="F180" s="23"/>
      <c r="G180" s="23"/>
      <c r="H180" s="23"/>
      <c r="I180" s="23"/>
      <c r="J180" s="23"/>
      <c r="K180" s="23"/>
      <c r="L180" s="23">
        <f>SUM(L179:L179)</f>
        <v>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/>
      <c r="C181" s="12"/>
      <c r="D181" s="23"/>
      <c r="E181" s="23"/>
      <c r="F181" s="23"/>
      <c r="G181" s="23"/>
      <c r="H181" s="23"/>
      <c r="I181" s="23"/>
      <c r="J181" s="23"/>
      <c r="K181" s="23"/>
      <c r="L181" s="2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 t="s">
        <v>188</v>
      </c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98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 t="s">
        <v>193</v>
      </c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/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 t="s">
        <v>189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23">
        <f>SUM(L176+L167)</f>
        <v>87973.333333333328</v>
      </c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15.75" customHeight="1" thickBot="1">
      <c r="A186" s="22"/>
      <c r="B186" s="24"/>
      <c r="C186" s="24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6.5" customHeight="1" thickBot="1">
      <c r="A187" s="116" t="s">
        <v>88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8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6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s="35" customFormat="1" ht="16.5" customHeight="1">
      <c r="A189" s="40"/>
      <c r="B189" s="32" t="s">
        <v>78</v>
      </c>
      <c r="C189" s="40"/>
      <c r="D189" s="40"/>
      <c r="E189" s="40"/>
      <c r="F189" s="40"/>
      <c r="G189" s="40"/>
      <c r="H189" s="40"/>
      <c r="I189" s="40"/>
      <c r="J189" s="40"/>
      <c r="K189" s="40"/>
      <c r="L189" s="38">
        <v>1500</v>
      </c>
      <c r="M189" s="17" t="s">
        <v>252</v>
      </c>
      <c r="N189" s="17"/>
      <c r="O189" s="17"/>
      <c r="P189" s="17"/>
      <c r="Q189" s="17"/>
      <c r="R189" s="17"/>
      <c r="S189" s="17"/>
      <c r="T189" s="17"/>
      <c r="U189" s="17"/>
    </row>
    <row r="190" spans="1:21" s="35" customFormat="1" ht="16.5" customHeight="1">
      <c r="A190" s="40"/>
      <c r="B190" s="3" t="s">
        <v>98</v>
      </c>
      <c r="C190" s="40"/>
      <c r="D190" s="40"/>
      <c r="E190" s="40"/>
      <c r="F190" s="40"/>
      <c r="G190" s="40"/>
      <c r="H190" s="40"/>
      <c r="I190" s="40"/>
      <c r="J190" s="40"/>
      <c r="L190" s="40">
        <f>SUM(L189)</f>
        <v>1500</v>
      </c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35" customFormat="1" ht="16.5" customHeight="1">
      <c r="A191" s="40"/>
      <c r="B191" s="3"/>
      <c r="C191" s="40"/>
      <c r="D191" s="40"/>
      <c r="E191" s="40"/>
      <c r="F191" s="40"/>
      <c r="G191" s="40"/>
      <c r="H191" s="40"/>
      <c r="I191" s="40"/>
      <c r="J191" s="40"/>
      <c r="L191" s="40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35" customFormat="1" ht="16.5" customHeight="1">
      <c r="A192" s="40"/>
      <c r="B192" s="3" t="s">
        <v>102</v>
      </c>
      <c r="C192" s="40"/>
      <c r="D192" s="40"/>
      <c r="E192" s="40"/>
      <c r="F192" s="40"/>
      <c r="G192" s="40"/>
      <c r="H192" s="40"/>
      <c r="I192" s="40"/>
      <c r="J192" s="40"/>
      <c r="L192" s="40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2" t="s">
        <v>103</v>
      </c>
      <c r="C193" s="40"/>
      <c r="D193" s="40"/>
      <c r="E193" s="40"/>
      <c r="F193" s="40"/>
      <c r="G193" s="40"/>
      <c r="H193" s="40"/>
      <c r="I193" s="40"/>
      <c r="J193" s="40"/>
      <c r="L193" s="38">
        <v>250</v>
      </c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2" t="s">
        <v>233</v>
      </c>
      <c r="C194" s="40"/>
      <c r="D194" s="40"/>
      <c r="E194" s="40"/>
      <c r="F194" s="40"/>
      <c r="G194" s="40"/>
      <c r="H194" s="40"/>
      <c r="I194" s="40"/>
      <c r="J194" s="40"/>
      <c r="L194" s="38">
        <v>1000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" t="s">
        <v>98</v>
      </c>
      <c r="C195" s="40"/>
      <c r="D195" s="40"/>
      <c r="E195" s="40"/>
      <c r="F195" s="40"/>
      <c r="G195" s="40"/>
      <c r="H195" s="40"/>
      <c r="I195" s="40"/>
      <c r="J195" s="40"/>
      <c r="L195" s="40">
        <f>SUM(L193:L194)</f>
        <v>1250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"/>
      <c r="C196" s="40"/>
      <c r="D196" s="40"/>
      <c r="E196" s="40"/>
      <c r="F196" s="40"/>
      <c r="G196" s="40"/>
      <c r="H196" s="40"/>
      <c r="I196" s="40"/>
      <c r="J196" s="40"/>
      <c r="L196" s="4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" t="s">
        <v>104</v>
      </c>
      <c r="C197" s="40"/>
      <c r="D197" s="40"/>
      <c r="E197" s="40"/>
      <c r="F197" s="40"/>
      <c r="G197" s="40"/>
      <c r="H197" s="40"/>
      <c r="I197" s="40"/>
      <c r="J197" s="40"/>
      <c r="L197" s="4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2" t="s">
        <v>105</v>
      </c>
      <c r="C198" s="40"/>
      <c r="D198" s="40"/>
      <c r="E198" s="40"/>
      <c r="F198" s="40"/>
      <c r="G198" s="40"/>
      <c r="H198" s="40"/>
      <c r="I198" s="40"/>
      <c r="J198" s="40"/>
      <c r="L198" s="4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98</v>
      </c>
      <c r="C199" s="40"/>
      <c r="D199" s="40"/>
      <c r="E199" s="40"/>
      <c r="F199" s="40"/>
      <c r="G199" s="40"/>
      <c r="H199" s="40"/>
      <c r="I199" s="40"/>
      <c r="J199" s="40"/>
      <c r="L199" s="40">
        <f>L198</f>
        <v>0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"/>
      <c r="C200" s="40"/>
      <c r="D200" s="40"/>
      <c r="E200" s="40"/>
      <c r="F200" s="40"/>
      <c r="G200" s="40"/>
      <c r="H200" s="40"/>
      <c r="I200" s="40"/>
      <c r="J200" s="40"/>
      <c r="L200" s="4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106</v>
      </c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" t="s">
        <v>98</v>
      </c>
      <c r="C202" s="40"/>
      <c r="D202" s="40"/>
      <c r="E202" s="40"/>
      <c r="F202" s="40"/>
      <c r="G202" s="40"/>
      <c r="H202" s="40"/>
      <c r="I202" s="40"/>
      <c r="J202" s="40"/>
      <c r="L202" s="40">
        <f>L201</f>
        <v>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/>
      <c r="C203" s="40"/>
      <c r="D203" s="40"/>
      <c r="E203" s="40"/>
      <c r="F203" s="40"/>
      <c r="G203" s="40"/>
      <c r="H203" s="40"/>
      <c r="I203" s="40"/>
      <c r="J203" s="40"/>
      <c r="L203" s="40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 t="s">
        <v>107</v>
      </c>
      <c r="C204" s="40"/>
      <c r="D204" s="40"/>
      <c r="E204" s="40"/>
      <c r="F204" s="40"/>
      <c r="G204" s="40"/>
      <c r="H204" s="40"/>
      <c r="I204" s="40"/>
      <c r="J204" s="40"/>
      <c r="L204" s="40">
        <f>SUM(L190+L195+L199+L202)</f>
        <v>2750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5.75" thickBot="1">
      <c r="A206" s="3"/>
      <c r="B206" s="19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15.75" thickBot="1">
      <c r="A207" s="116" t="s">
        <v>89</v>
      </c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8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B209" s="30" t="s">
        <v>209</v>
      </c>
    </row>
    <row r="210" spans="1:21">
      <c r="A210" s="6"/>
      <c r="B210" s="19" t="s">
        <v>52</v>
      </c>
      <c r="C210" s="17"/>
      <c r="D210" s="17"/>
      <c r="E210" s="17"/>
      <c r="F210" s="17"/>
      <c r="G210" s="17"/>
      <c r="H210" s="17"/>
      <c r="I210" s="17"/>
      <c r="J210" s="17"/>
      <c r="L210" s="17">
        <v>1000</v>
      </c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A211" s="6"/>
      <c r="B211" s="19" t="s">
        <v>53</v>
      </c>
      <c r="C211" s="17"/>
      <c r="D211" s="17"/>
      <c r="E211" s="17"/>
      <c r="F211" s="17"/>
      <c r="G211" s="17"/>
      <c r="H211" s="17"/>
      <c r="I211" s="17"/>
      <c r="J211" s="17"/>
      <c r="L211" s="17">
        <v>8000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6"/>
      <c r="B212" s="19" t="s">
        <v>54</v>
      </c>
      <c r="C212" s="17" t="s">
        <v>55</v>
      </c>
      <c r="D212" s="17"/>
      <c r="E212" s="17"/>
      <c r="F212" s="17"/>
      <c r="G212" s="17"/>
      <c r="H212" s="17"/>
      <c r="I212" s="17"/>
      <c r="J212" s="17"/>
      <c r="L212" s="17">
        <v>6000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210</v>
      </c>
      <c r="C213" s="17" t="s">
        <v>228</v>
      </c>
      <c r="D213" s="17"/>
      <c r="E213" s="17"/>
      <c r="F213" s="17"/>
      <c r="G213" s="17"/>
      <c r="H213" s="17"/>
      <c r="I213" s="17"/>
      <c r="J213" s="17"/>
      <c r="L213" s="17">
        <v>2000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56</v>
      </c>
      <c r="C214" s="17"/>
      <c r="D214" s="17"/>
      <c r="E214" s="17"/>
      <c r="F214" s="17"/>
      <c r="G214" s="17"/>
      <c r="H214" s="17"/>
      <c r="I214" s="17"/>
      <c r="J214" s="17"/>
      <c r="L214" s="17">
        <v>1500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25" t="s">
        <v>98</v>
      </c>
      <c r="C215" s="17"/>
      <c r="D215" s="17"/>
      <c r="E215" s="17"/>
      <c r="F215" s="17"/>
      <c r="G215" s="17"/>
      <c r="H215" s="17"/>
      <c r="I215" s="17"/>
      <c r="J215" s="17"/>
      <c r="L215" s="23">
        <f>SUM(L210:L214)</f>
        <v>18500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/>
      <c r="C216" s="17"/>
      <c r="D216" s="17"/>
      <c r="E216" s="17"/>
      <c r="F216" s="17"/>
      <c r="G216" s="17"/>
      <c r="H216" s="17"/>
      <c r="I216" s="17"/>
      <c r="J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4"/>
      <c r="B217" s="8" t="s">
        <v>57</v>
      </c>
      <c r="C217" s="7"/>
      <c r="E217" s="7"/>
      <c r="F217" s="7"/>
      <c r="G217" s="7"/>
      <c r="H217" s="7"/>
      <c r="I217" s="7"/>
      <c r="J217" s="7"/>
      <c r="L217" s="12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 t="s">
        <v>58</v>
      </c>
      <c r="C218" s="17"/>
      <c r="D218" s="17"/>
      <c r="E218" s="17"/>
      <c r="F218" s="17"/>
      <c r="G218" s="17"/>
      <c r="H218" s="17"/>
      <c r="I218" s="17"/>
      <c r="J218" s="17"/>
      <c r="L218" s="17">
        <v>6000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19" t="s">
        <v>59</v>
      </c>
      <c r="C219" s="74">
        <v>50</v>
      </c>
      <c r="D219" s="2" t="s">
        <v>206</v>
      </c>
      <c r="E219" s="28"/>
      <c r="F219" s="28"/>
      <c r="G219" s="28"/>
      <c r="H219" s="28"/>
      <c r="I219" s="28"/>
      <c r="J219" s="28"/>
      <c r="L219" s="29">
        <f>C219*($B$5)</f>
        <v>200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25" t="s">
        <v>99</v>
      </c>
      <c r="C220" s="17"/>
      <c r="D220" s="17"/>
      <c r="E220" s="17"/>
      <c r="F220" s="17"/>
      <c r="G220" s="17"/>
      <c r="H220" s="17"/>
      <c r="I220" s="17"/>
      <c r="J220" s="17"/>
      <c r="L220" s="23">
        <f>SUM(L218:L219)</f>
        <v>6200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9"/>
      <c r="C221" s="17"/>
      <c r="D221" s="17"/>
      <c r="E221" s="17"/>
      <c r="F221" s="17"/>
      <c r="G221" s="17"/>
      <c r="H221" s="17"/>
      <c r="I221" s="17"/>
      <c r="J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4"/>
      <c r="B222" s="8" t="s">
        <v>242</v>
      </c>
      <c r="C222" s="7"/>
      <c r="E222" s="7"/>
      <c r="F222" s="7"/>
      <c r="G222" s="7"/>
      <c r="H222" s="7"/>
      <c r="I222" s="7"/>
      <c r="J222" s="7"/>
      <c r="L222" s="1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 t="s">
        <v>60</v>
      </c>
      <c r="C223" s="17"/>
      <c r="D223" s="17"/>
      <c r="E223" s="17"/>
      <c r="F223" s="17"/>
      <c r="G223" s="17"/>
      <c r="H223" s="17"/>
      <c r="I223" s="17"/>
      <c r="J223" s="17"/>
      <c r="L223" s="17">
        <v>7000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19" t="s">
        <v>61</v>
      </c>
      <c r="C224" s="74">
        <v>50</v>
      </c>
      <c r="D224" s="2" t="s">
        <v>206</v>
      </c>
      <c r="E224" s="28"/>
      <c r="F224" s="28"/>
      <c r="G224" s="28"/>
      <c r="H224" s="28"/>
      <c r="I224" s="28"/>
      <c r="J224" s="28"/>
      <c r="L224" s="29">
        <f>C224*($B$5)</f>
        <v>200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25" t="s">
        <v>99</v>
      </c>
      <c r="C225" s="23"/>
      <c r="D225" s="23"/>
      <c r="E225" s="23"/>
      <c r="F225" s="23"/>
      <c r="G225" s="23"/>
      <c r="H225" s="23"/>
      <c r="I225" s="23"/>
      <c r="J225" s="23"/>
      <c r="L225" s="23">
        <f>SUM(L223:L224)</f>
        <v>7200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/>
      <c r="C226" s="17"/>
      <c r="D226" s="17"/>
      <c r="E226" s="17"/>
      <c r="F226" s="17"/>
      <c r="G226" s="17"/>
      <c r="H226" s="17"/>
      <c r="I226" s="17"/>
      <c r="J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4"/>
      <c r="B227" s="8" t="s">
        <v>223</v>
      </c>
      <c r="C227" s="7"/>
      <c r="E227" s="7"/>
      <c r="F227" s="7"/>
      <c r="G227" s="7"/>
      <c r="H227" s="7"/>
      <c r="I227" s="7"/>
      <c r="J227" s="7"/>
      <c r="L227" s="12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26"/>
      <c r="B228" s="27" t="s">
        <v>62</v>
      </c>
      <c r="C228" s="28"/>
      <c r="E228" s="28"/>
      <c r="F228" s="28"/>
      <c r="G228" s="28"/>
      <c r="H228" s="28"/>
      <c r="I228" s="28"/>
      <c r="J228" s="28"/>
      <c r="L228" s="29">
        <v>1000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26"/>
      <c r="B229" s="27" t="s">
        <v>229</v>
      </c>
      <c r="C229" s="74">
        <v>1000</v>
      </c>
      <c r="D229" s="2" t="s">
        <v>207</v>
      </c>
      <c r="E229" s="28"/>
      <c r="F229" s="28"/>
      <c r="G229" s="28"/>
      <c r="H229" s="28"/>
      <c r="I229" s="28"/>
      <c r="J229" s="28"/>
      <c r="L229" s="29">
        <f>C229*($B$5+1)</f>
        <v>5000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8" t="s">
        <v>98</v>
      </c>
      <c r="C230" s="7"/>
      <c r="D230" s="30"/>
      <c r="E230" s="7"/>
      <c r="F230" s="7"/>
      <c r="G230" s="7"/>
      <c r="H230" s="7"/>
      <c r="I230" s="7"/>
      <c r="J230" s="7"/>
      <c r="L230" s="12">
        <f>SUM(L228:L229)</f>
        <v>6000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4"/>
      <c r="B231" s="8"/>
      <c r="C231" s="7"/>
      <c r="E231" s="7"/>
      <c r="F231" s="7"/>
      <c r="G231" s="7"/>
      <c r="H231" s="7"/>
      <c r="I231" s="7"/>
      <c r="J231" s="7"/>
      <c r="L231" s="12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8" t="s">
        <v>208</v>
      </c>
      <c r="C232" s="7"/>
      <c r="E232" s="7"/>
      <c r="F232" s="7"/>
      <c r="G232" s="7"/>
      <c r="H232" s="7"/>
      <c r="I232" s="7"/>
      <c r="J232" s="7"/>
      <c r="L232" s="1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27" t="s">
        <v>63</v>
      </c>
      <c r="C233" s="28"/>
      <c r="E233" s="28"/>
      <c r="F233" s="28"/>
      <c r="G233" s="28"/>
      <c r="H233" s="28"/>
      <c r="I233" s="28"/>
      <c r="J233" s="28"/>
      <c r="L233" s="29">
        <v>1000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27" t="s">
        <v>260</v>
      </c>
      <c r="C234" s="28"/>
      <c r="E234" s="28"/>
      <c r="F234" s="28"/>
      <c r="G234" s="28"/>
      <c r="H234" s="28"/>
      <c r="I234" s="28"/>
      <c r="J234" s="28"/>
      <c r="L234" s="29">
        <v>500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64</v>
      </c>
      <c r="C235" s="74">
        <v>2000</v>
      </c>
      <c r="D235" s="2" t="s">
        <v>207</v>
      </c>
      <c r="E235" s="28"/>
      <c r="F235" s="28"/>
      <c r="G235" s="28"/>
      <c r="H235" s="28"/>
      <c r="I235" s="28"/>
      <c r="J235" s="28"/>
      <c r="L235" s="29">
        <f>C235*($B$5+1)</f>
        <v>10000</v>
      </c>
      <c r="M235" s="17" t="s">
        <v>254</v>
      </c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 t="s">
        <v>99</v>
      </c>
      <c r="C236" s="7"/>
      <c r="D236" s="30"/>
      <c r="E236" s="7"/>
      <c r="F236" s="7"/>
      <c r="G236" s="7"/>
      <c r="H236" s="7"/>
      <c r="I236" s="7"/>
      <c r="J236" s="7"/>
      <c r="L236" s="12">
        <f>SUM(L233:L235)</f>
        <v>11500</v>
      </c>
      <c r="M236" s="17" t="s">
        <v>255</v>
      </c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8"/>
      <c r="C237" s="7"/>
      <c r="E237" s="7"/>
      <c r="F237" s="7"/>
      <c r="G237" s="7"/>
      <c r="H237" s="7"/>
      <c r="I237" s="7"/>
      <c r="J237" s="7"/>
      <c r="L237" s="12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8" t="s">
        <v>65</v>
      </c>
      <c r="C238" s="7"/>
      <c r="E238" s="7"/>
      <c r="F238" s="7"/>
      <c r="G238" s="7"/>
      <c r="H238" s="7"/>
      <c r="I238" s="7"/>
      <c r="J238" s="7"/>
      <c r="L238" s="12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8" t="s">
        <v>98</v>
      </c>
      <c r="C239" s="7"/>
      <c r="E239" s="7"/>
      <c r="F239" s="7"/>
      <c r="G239" s="7"/>
      <c r="H239" s="7"/>
      <c r="I239" s="7"/>
      <c r="J239" s="7"/>
      <c r="L239" s="12">
        <f>SUM(L238:L238)</f>
        <v>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/>
      <c r="C240" s="7"/>
      <c r="E240" s="7"/>
      <c r="F240" s="7"/>
      <c r="G240" s="7"/>
      <c r="H240" s="7"/>
      <c r="I240" s="7"/>
      <c r="J240" s="7"/>
      <c r="L240" s="12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66</v>
      </c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98</v>
      </c>
      <c r="C242" s="7"/>
      <c r="E242" s="7"/>
      <c r="F242" s="7"/>
      <c r="G242" s="7"/>
      <c r="H242" s="7"/>
      <c r="I242" s="7"/>
      <c r="J242" s="7"/>
      <c r="L242" s="12">
        <f>SUM(L241:L241)</f>
        <v>0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/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67</v>
      </c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98</v>
      </c>
      <c r="C245" s="7"/>
      <c r="E245" s="7"/>
      <c r="F245" s="7"/>
      <c r="G245" s="7"/>
      <c r="H245" s="7"/>
      <c r="I245" s="7"/>
      <c r="J245" s="7"/>
      <c r="L245" s="12">
        <f>SUM(L244:L244)</f>
        <v>0</v>
      </c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/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16.5" customHeight="1">
      <c r="A247" s="26"/>
      <c r="B247" s="8" t="s">
        <v>194</v>
      </c>
      <c r="C247" s="28"/>
      <c r="E247" s="28"/>
      <c r="F247" s="28"/>
      <c r="G247" s="28"/>
      <c r="H247" s="28"/>
      <c r="I247" s="28"/>
      <c r="J247" s="28"/>
      <c r="L247" s="12">
        <f>SUM(L215+L220+L225+L230+L236+L239+L242+L245)</f>
        <v>49400</v>
      </c>
      <c r="M247" s="17" t="s">
        <v>253</v>
      </c>
      <c r="N247" s="17"/>
      <c r="O247" s="17"/>
      <c r="P247" s="17"/>
      <c r="Q247" s="17"/>
      <c r="R247" s="17"/>
      <c r="S247" s="17"/>
      <c r="T247" s="17"/>
      <c r="U247" s="17"/>
    </row>
    <row r="248" spans="1:21" ht="16.5" customHeight="1" thickBot="1">
      <c r="A248" s="6"/>
      <c r="B248" s="19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5.75" thickBot="1">
      <c r="A249" s="116" t="s">
        <v>76</v>
      </c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8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31"/>
      <c r="B251" s="3" t="s">
        <v>80</v>
      </c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6"/>
      <c r="B252" s="19" t="s">
        <v>77</v>
      </c>
      <c r="C252" s="17"/>
      <c r="D252" s="17"/>
      <c r="E252" s="17"/>
      <c r="F252" s="17"/>
      <c r="G252" s="17"/>
      <c r="H252" s="17"/>
      <c r="I252" s="17"/>
      <c r="J252" s="17"/>
      <c r="L252" s="17">
        <v>750</v>
      </c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6"/>
      <c r="B253" s="19" t="s">
        <v>79</v>
      </c>
      <c r="C253" s="17"/>
      <c r="D253" s="17"/>
      <c r="E253" s="17"/>
      <c r="F253" s="17"/>
      <c r="G253" s="17"/>
      <c r="H253" s="17"/>
      <c r="I253" s="17"/>
      <c r="J253" s="17"/>
      <c r="L253" s="17">
        <v>2000</v>
      </c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25" t="s">
        <v>98</v>
      </c>
      <c r="C254" s="23"/>
      <c r="D254" s="23"/>
      <c r="E254" s="23"/>
      <c r="F254" s="23"/>
      <c r="G254" s="23"/>
      <c r="H254" s="23"/>
      <c r="I254" s="23"/>
      <c r="J254" s="23"/>
      <c r="L254" s="23">
        <f>SUM(L252:L253)</f>
        <v>2750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25"/>
      <c r="C255" s="23"/>
      <c r="D255" s="23"/>
      <c r="E255" s="23"/>
      <c r="F255" s="23"/>
      <c r="G255" s="23"/>
      <c r="H255" s="23"/>
      <c r="I255" s="23"/>
      <c r="J255" s="23"/>
      <c r="L255" s="23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81</v>
      </c>
      <c r="C256" s="17"/>
      <c r="D256" s="17"/>
      <c r="E256" s="17"/>
      <c r="F256" s="17"/>
      <c r="G256" s="17"/>
      <c r="H256" s="17"/>
      <c r="I256" s="17"/>
      <c r="J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5" t="s">
        <v>98</v>
      </c>
      <c r="C257" s="17"/>
      <c r="D257" s="17"/>
      <c r="E257" s="17"/>
      <c r="F257" s="17"/>
      <c r="G257" s="17"/>
      <c r="H257" s="17"/>
      <c r="I257" s="17"/>
      <c r="J257" s="17"/>
      <c r="L257" s="17">
        <f>SUM(L256:L256)</f>
        <v>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/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19" t="s">
        <v>82</v>
      </c>
      <c r="C259" s="17"/>
      <c r="D259" s="17"/>
      <c r="E259" s="17"/>
      <c r="F259" s="17"/>
      <c r="G259" s="17"/>
      <c r="H259" s="17"/>
      <c r="I259" s="17"/>
      <c r="J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25" t="s">
        <v>98</v>
      </c>
      <c r="C260" s="17"/>
      <c r="D260" s="17"/>
      <c r="E260" s="17"/>
      <c r="F260" s="17"/>
      <c r="G260" s="17"/>
      <c r="H260" s="17"/>
      <c r="I260" s="17"/>
      <c r="J260" s="17"/>
      <c r="L260" s="17">
        <f>SUM(L259:L259)</f>
        <v>0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/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 t="s">
        <v>83</v>
      </c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25" t="s">
        <v>98</v>
      </c>
      <c r="C263" s="17"/>
      <c r="D263" s="17"/>
      <c r="E263" s="17"/>
      <c r="F263" s="17"/>
      <c r="G263" s="17"/>
      <c r="H263" s="17"/>
      <c r="I263" s="17"/>
      <c r="J263" s="17"/>
      <c r="L263" s="17">
        <f>SUM(L262:L262)</f>
        <v>0</v>
      </c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/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 t="s">
        <v>84</v>
      </c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25" t="s">
        <v>98</v>
      </c>
      <c r="C266" s="17"/>
      <c r="D266" s="17"/>
      <c r="E266" s="17"/>
      <c r="F266" s="17"/>
      <c r="G266" s="17"/>
      <c r="H266" s="17"/>
      <c r="I266" s="17"/>
      <c r="J266" s="17"/>
      <c r="L266" s="17">
        <f>SUM(L265:L265)</f>
        <v>0</v>
      </c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/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 t="s">
        <v>85</v>
      </c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25" t="s">
        <v>98</v>
      </c>
      <c r="C269" s="17"/>
      <c r="D269" s="17"/>
      <c r="E269" s="17"/>
      <c r="F269" s="17"/>
      <c r="G269" s="17"/>
      <c r="H269" s="17"/>
      <c r="I269" s="17"/>
      <c r="J269" s="17"/>
      <c r="L269" s="17">
        <f>SUM(L268:L268)</f>
        <v>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/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 t="s">
        <v>86</v>
      </c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25" t="s">
        <v>98</v>
      </c>
      <c r="C272" s="17"/>
      <c r="D272" s="17"/>
      <c r="E272" s="17"/>
      <c r="F272" s="17"/>
      <c r="G272" s="17"/>
      <c r="H272" s="17"/>
      <c r="I272" s="17"/>
      <c r="J272" s="17"/>
      <c r="L272" s="17">
        <f>SUM(L271:L271)</f>
        <v>0</v>
      </c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/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 t="s">
        <v>87</v>
      </c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25" t="s">
        <v>98</v>
      </c>
      <c r="C275" s="17"/>
      <c r="D275" s="17"/>
      <c r="E275" s="17"/>
      <c r="F275" s="17"/>
      <c r="G275" s="17"/>
      <c r="H275" s="17"/>
      <c r="I275" s="17"/>
      <c r="J275" s="17"/>
      <c r="L275" s="17">
        <f>SUM(L274:L274)</f>
        <v>0</v>
      </c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/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108</v>
      </c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 t="s">
        <v>205</v>
      </c>
      <c r="C278" s="17" t="s">
        <v>243</v>
      </c>
      <c r="D278" s="17"/>
      <c r="E278" s="17"/>
      <c r="F278" s="17"/>
      <c r="G278" s="17"/>
      <c r="H278" s="17"/>
      <c r="I278" s="17"/>
      <c r="J278" s="17"/>
      <c r="L278" s="17">
        <f>6*50*F5</f>
        <v>6000</v>
      </c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19" t="s">
        <v>204</v>
      </c>
      <c r="C279" s="17" t="s">
        <v>222</v>
      </c>
      <c r="D279" s="17"/>
      <c r="E279" s="17"/>
      <c r="F279" s="17"/>
      <c r="G279" s="17"/>
      <c r="H279" s="17"/>
      <c r="I279" s="17"/>
      <c r="J279" s="17"/>
      <c r="L279" s="17">
        <f>50*F5</f>
        <v>1000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 t="s">
        <v>29</v>
      </c>
      <c r="C280" s="17"/>
      <c r="D280" s="17"/>
      <c r="E280" s="17"/>
      <c r="F280" s="17"/>
      <c r="G280" s="17"/>
      <c r="H280" s="17"/>
      <c r="I280" s="17"/>
      <c r="J280" s="17"/>
      <c r="L280" s="17">
        <f>SUM(L278:L279)</f>
        <v>7000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100</v>
      </c>
      <c r="C282" s="23"/>
      <c r="D282" s="23"/>
      <c r="E282" s="23"/>
      <c r="F282" s="23"/>
      <c r="G282" s="23"/>
      <c r="H282" s="23"/>
      <c r="I282" s="23"/>
      <c r="J282" s="23"/>
      <c r="L282" s="23">
        <f>SUM(+L254+L257+L260+L263+L266+L269+L272+L275+L280)</f>
        <v>9750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15.75" thickBot="1">
      <c r="A283" s="6"/>
      <c r="B283" s="19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15.75" thickBot="1">
      <c r="A284" s="116" t="s">
        <v>91</v>
      </c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8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31"/>
      <c r="B285" s="3" t="s">
        <v>109</v>
      </c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19" t="s">
        <v>224</v>
      </c>
      <c r="C286" s="17"/>
      <c r="D286" s="17"/>
      <c r="E286" s="17"/>
      <c r="F286" s="17"/>
      <c r="G286" s="17"/>
      <c r="H286" s="17"/>
      <c r="I286" s="17"/>
      <c r="J286" s="17"/>
      <c r="L286" s="17">
        <v>1000</v>
      </c>
      <c r="M286" s="17" t="s">
        <v>256</v>
      </c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 t="s">
        <v>98</v>
      </c>
      <c r="C287" s="17"/>
      <c r="D287" s="17"/>
      <c r="E287" s="17"/>
      <c r="F287" s="17"/>
      <c r="G287" s="17"/>
      <c r="H287" s="17"/>
      <c r="I287" s="17"/>
      <c r="J287" s="17"/>
      <c r="L287" s="17">
        <f>L286</f>
        <v>1000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25" t="s">
        <v>110</v>
      </c>
      <c r="C289" s="17"/>
      <c r="D289" s="17"/>
      <c r="E289" s="17"/>
      <c r="F289" s="17"/>
      <c r="G289" s="17"/>
      <c r="H289" s="17"/>
      <c r="I289" s="17"/>
      <c r="J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6.5" customHeight="1">
      <c r="A290" s="6"/>
      <c r="B290" s="25" t="s">
        <v>98</v>
      </c>
      <c r="C290" s="17"/>
      <c r="D290" s="17"/>
      <c r="E290" s="17"/>
      <c r="F290" s="17"/>
      <c r="G290" s="17"/>
      <c r="H290" s="17"/>
      <c r="I290" s="17"/>
      <c r="J290" s="17"/>
      <c r="L290" s="17">
        <f>L289</f>
        <v>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16.5" customHeight="1">
      <c r="A291" s="6"/>
      <c r="B291" s="25"/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6.5" customHeight="1">
      <c r="A292" s="6"/>
      <c r="B292" s="25" t="s">
        <v>195</v>
      </c>
      <c r="C292" s="17"/>
      <c r="D292" s="17"/>
      <c r="E292" s="17"/>
      <c r="F292" s="17"/>
      <c r="G292" s="17"/>
      <c r="H292" s="17"/>
      <c r="I292" s="17"/>
      <c r="J292" s="17"/>
      <c r="L292" s="17">
        <f>SUM(L287+L290)</f>
        <v>1000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s="43" customFormat="1" ht="16.5" customHeight="1" thickBot="1">
      <c r="A293" s="6"/>
      <c r="B293" s="19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s="43" customFormat="1" ht="16.5" customHeight="1" thickBot="1">
      <c r="A294" s="116" t="s">
        <v>92</v>
      </c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8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s="43" customFormat="1" ht="16.5" customHeight="1">
      <c r="A295" s="39"/>
      <c r="B295" s="42" t="s">
        <v>111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s="43" customFormat="1" ht="16.5" customHeight="1">
      <c r="A296" s="39"/>
      <c r="B296" s="39" t="s">
        <v>112</v>
      </c>
      <c r="C296" s="39"/>
      <c r="D296" s="39"/>
      <c r="E296" s="39"/>
      <c r="F296" s="39"/>
      <c r="G296" s="39"/>
      <c r="H296" s="39"/>
      <c r="I296" s="39"/>
      <c r="J296" s="39"/>
      <c r="L296" s="39">
        <v>15000</v>
      </c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s="43" customFormat="1" ht="16.5" customHeight="1">
      <c r="A297" s="42"/>
      <c r="B297" s="42" t="s">
        <v>98</v>
      </c>
      <c r="C297" s="42"/>
      <c r="D297" s="42"/>
      <c r="E297" s="42"/>
      <c r="F297" s="42"/>
      <c r="G297" s="42"/>
      <c r="H297" s="42"/>
      <c r="I297" s="42"/>
      <c r="J297" s="42"/>
      <c r="L297" s="42">
        <f>L296</f>
        <v>15000</v>
      </c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s="43" customFormat="1" ht="16.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L298" s="42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s="43" customFormat="1" ht="16.5" customHeight="1">
      <c r="A299" s="42"/>
      <c r="B299" s="42" t="s">
        <v>113</v>
      </c>
      <c r="C299" s="42"/>
      <c r="D299" s="42"/>
      <c r="E299" s="42"/>
      <c r="F299" s="42"/>
      <c r="G299" s="42"/>
      <c r="H299" s="42"/>
      <c r="I299" s="42"/>
      <c r="J299" s="42"/>
      <c r="L299" s="42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>
      <c r="A300" s="42"/>
      <c r="B300" s="42" t="s">
        <v>98</v>
      </c>
      <c r="C300" s="42"/>
      <c r="D300" s="42"/>
      <c r="E300" s="42"/>
      <c r="F300" s="42"/>
      <c r="G300" s="42"/>
      <c r="H300" s="42"/>
      <c r="I300" s="42"/>
      <c r="J300" s="42"/>
      <c r="L300" s="42">
        <f>SUM(L299:L299)</f>
        <v>0</v>
      </c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42"/>
      <c r="B302" s="42" t="s">
        <v>114</v>
      </c>
      <c r="C302" s="42"/>
      <c r="D302" s="42"/>
      <c r="E302" s="42"/>
      <c r="F302" s="42"/>
      <c r="G302" s="42"/>
      <c r="H302" s="42"/>
      <c r="I302" s="42"/>
      <c r="J302" s="42"/>
      <c r="L302" s="42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 t="s">
        <v>98</v>
      </c>
      <c r="C303" s="42"/>
      <c r="D303" s="42"/>
      <c r="E303" s="42"/>
      <c r="F303" s="42"/>
      <c r="G303" s="42"/>
      <c r="H303" s="42"/>
      <c r="I303" s="42"/>
      <c r="J303" s="42"/>
      <c r="L303" s="42">
        <f>SUM(L302:L302)</f>
        <v>0</v>
      </c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115</v>
      </c>
      <c r="C305" s="39" t="s">
        <v>244</v>
      </c>
      <c r="D305" s="42"/>
      <c r="E305" s="42"/>
      <c r="F305" s="42"/>
      <c r="G305" s="42"/>
      <c r="H305" s="42"/>
      <c r="I305" s="42"/>
      <c r="J305" s="42"/>
      <c r="L305" s="39">
        <v>2500</v>
      </c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98</v>
      </c>
      <c r="C306" s="42"/>
      <c r="D306" s="42"/>
      <c r="E306" s="42"/>
      <c r="F306" s="42"/>
      <c r="G306" s="42"/>
      <c r="H306" s="42"/>
      <c r="I306" s="42"/>
      <c r="J306" s="42"/>
      <c r="L306" s="42">
        <f>SUM(L305:L305)</f>
        <v>2500</v>
      </c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116</v>
      </c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99</v>
      </c>
      <c r="C309" s="42"/>
      <c r="D309" s="42"/>
      <c r="E309" s="42"/>
      <c r="F309" s="42"/>
      <c r="G309" s="42"/>
      <c r="H309" s="42"/>
      <c r="I309" s="42"/>
      <c r="J309" s="42"/>
      <c r="L309" s="42">
        <f>SUM(L308:L308)</f>
        <v>0</v>
      </c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>
      <c r="A311" s="42"/>
      <c r="B311" s="42" t="s">
        <v>117</v>
      </c>
      <c r="C311" s="42"/>
      <c r="D311" s="42"/>
      <c r="E311" s="42"/>
      <c r="F311" s="42"/>
      <c r="G311" s="42"/>
      <c r="H311" s="42"/>
      <c r="I311" s="42"/>
      <c r="J311" s="42"/>
      <c r="L311" s="42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>
      <c r="A312" s="42"/>
      <c r="B312" s="42" t="s">
        <v>98</v>
      </c>
      <c r="C312" s="42"/>
      <c r="D312" s="42"/>
      <c r="E312" s="42"/>
      <c r="F312" s="42"/>
      <c r="G312" s="42"/>
      <c r="H312" s="42"/>
      <c r="I312" s="42"/>
      <c r="J312" s="42"/>
      <c r="L312" s="42">
        <f>SUM(L311:L311)</f>
        <v>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>
      <c r="A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>
      <c r="A314" s="42"/>
      <c r="B314" s="44" t="s">
        <v>118</v>
      </c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>
      <c r="A315" s="42"/>
      <c r="B315" s="44" t="s">
        <v>98</v>
      </c>
      <c r="L315" s="43">
        <f>SUM(L314:L314)</f>
        <v>0</v>
      </c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>
      <c r="A316" s="42"/>
      <c r="B316" s="44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4" t="s">
        <v>119</v>
      </c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4" t="s">
        <v>98</v>
      </c>
      <c r="L318" s="43">
        <f>SUM(L317:L317)</f>
        <v>0</v>
      </c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>
      <c r="A319" s="42"/>
      <c r="B319" s="43"/>
      <c r="C319" s="43"/>
      <c r="D319" s="43"/>
      <c r="E319" s="43"/>
      <c r="F319" s="43"/>
      <c r="G319" s="43"/>
      <c r="H319" s="43"/>
      <c r="I319" s="43"/>
      <c r="J319" s="43"/>
      <c r="L319" s="43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16.5" customHeight="1">
      <c r="A320" s="42"/>
      <c r="B320" s="44" t="s">
        <v>120</v>
      </c>
      <c r="C320" s="43"/>
      <c r="D320" s="43"/>
      <c r="E320" s="43"/>
      <c r="F320" s="43"/>
      <c r="G320" s="43"/>
      <c r="H320" s="43"/>
      <c r="I320" s="43"/>
      <c r="J320" s="43"/>
      <c r="L320" s="44">
        <f>SUM(L297+L300+L303+L306+L309+L312+L315+L318)</f>
        <v>17500</v>
      </c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15.75" thickBot="1">
      <c r="A321" s="6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5.75" thickBot="1">
      <c r="A322" s="116" t="s">
        <v>97</v>
      </c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8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>
      <c r="A323" s="6"/>
      <c r="B323" s="30" t="s">
        <v>121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>
      <c r="A324" s="6"/>
      <c r="B324" s="2" t="s">
        <v>122</v>
      </c>
      <c r="L324" s="2">
        <v>1500</v>
      </c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>
      <c r="A325" s="6"/>
      <c r="B325" s="30" t="s">
        <v>98</v>
      </c>
      <c r="L325" s="30">
        <f>SUM(L324)</f>
        <v>1500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30"/>
      <c r="L326" s="3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30" t="s">
        <v>123</v>
      </c>
      <c r="L327" s="3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 t="s">
        <v>98</v>
      </c>
      <c r="L328" s="30">
        <f>L327</f>
        <v>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/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124</v>
      </c>
      <c r="L330" s="3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98</v>
      </c>
      <c r="L331" s="30">
        <f>L330</f>
        <v>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125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45"/>
      <c r="B334" s="2" t="s">
        <v>126</v>
      </c>
      <c r="L334" s="2">
        <v>800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 t="s">
        <v>98</v>
      </c>
      <c r="L335" s="30">
        <f>SUM(L334)</f>
        <v>800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/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127</v>
      </c>
      <c r="L337" s="3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 t="s">
        <v>128</v>
      </c>
      <c r="L338" s="30">
        <f>L337</f>
        <v>0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/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16.5" customHeight="1">
      <c r="A340" s="6"/>
      <c r="B340" s="30" t="s">
        <v>129</v>
      </c>
      <c r="L340" s="30">
        <f>SUM(L325+L328+L331+L335+L338)</f>
        <v>2300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s="41" customFormat="1" ht="16.5" customHeight="1" thickBot="1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s="41" customFormat="1" ht="16.5" customHeight="1" thickBot="1">
      <c r="A342" s="116" t="s">
        <v>96</v>
      </c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8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s="41" customFormat="1" ht="16.5" customHeight="1">
      <c r="A343" s="3"/>
      <c r="B343" s="3" t="s">
        <v>130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s="41" customFormat="1" ht="16.5" customHeight="1">
      <c r="A344" s="3"/>
      <c r="B344" s="3" t="s">
        <v>98</v>
      </c>
      <c r="C344" s="3"/>
      <c r="D344" s="3"/>
      <c r="E344" s="3"/>
      <c r="F344" s="3"/>
      <c r="G344" s="3"/>
      <c r="H344" s="3"/>
      <c r="I344" s="3"/>
      <c r="J344" s="3"/>
      <c r="L344" s="3">
        <f>K343</f>
        <v>0</v>
      </c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s="41" customFormat="1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L345" s="3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s="41" customFormat="1" ht="16.5" customHeight="1">
      <c r="A346" s="3"/>
      <c r="B346" s="3" t="s">
        <v>57</v>
      </c>
      <c r="C346" s="3"/>
      <c r="D346" s="3"/>
      <c r="E346" s="3"/>
      <c r="F346" s="3"/>
      <c r="G346" s="3"/>
      <c r="H346" s="3"/>
      <c r="I346" s="3"/>
      <c r="J346" s="3"/>
      <c r="L346" s="3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s="41" customFormat="1" ht="16.5" customHeight="1">
      <c r="A347" s="3"/>
      <c r="B347" s="3" t="s">
        <v>98</v>
      </c>
      <c r="C347" s="3"/>
      <c r="D347" s="3"/>
      <c r="E347" s="3"/>
      <c r="F347" s="3"/>
      <c r="G347" s="3"/>
      <c r="H347" s="3"/>
      <c r="I347" s="3"/>
      <c r="J347" s="3"/>
      <c r="L347" s="3">
        <f>L346</f>
        <v>0</v>
      </c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s="41" customFormat="1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L348" s="3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s="41" customFormat="1" ht="16.5" customHeight="1">
      <c r="A349" s="3"/>
      <c r="B349" s="3" t="s">
        <v>131</v>
      </c>
      <c r="C349" s="3"/>
      <c r="D349" s="3"/>
      <c r="E349" s="3"/>
      <c r="F349" s="3"/>
      <c r="G349" s="3"/>
      <c r="H349" s="3"/>
      <c r="I349" s="3"/>
      <c r="J349" s="3"/>
      <c r="L349" s="3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s="41" customFormat="1" ht="16.5" customHeight="1">
      <c r="A350" s="3"/>
      <c r="B350" s="3" t="s">
        <v>99</v>
      </c>
      <c r="C350" s="3"/>
      <c r="D350" s="3"/>
      <c r="E350" s="3"/>
      <c r="F350" s="3"/>
      <c r="G350" s="3"/>
      <c r="H350" s="3"/>
      <c r="I350" s="3"/>
      <c r="J350" s="3"/>
      <c r="L350" s="3">
        <f>L349</f>
        <v>0</v>
      </c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132</v>
      </c>
      <c r="C352" s="3"/>
      <c r="D352" s="3"/>
      <c r="E352" s="3"/>
      <c r="F352" s="3"/>
      <c r="G352" s="3"/>
      <c r="H352" s="3"/>
      <c r="I352" s="3"/>
      <c r="J352" s="3"/>
      <c r="L352" s="3"/>
      <c r="M352" s="34" t="s">
        <v>258</v>
      </c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 t="s">
        <v>98</v>
      </c>
      <c r="C353" s="3"/>
      <c r="D353" s="3"/>
      <c r="E353" s="3"/>
      <c r="F353" s="3"/>
      <c r="G353" s="3"/>
      <c r="H353" s="3"/>
      <c r="I353" s="3"/>
      <c r="J353" s="3"/>
      <c r="L353" s="3">
        <f>L352</f>
        <v>0</v>
      </c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133</v>
      </c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 t="s">
        <v>98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>
      <c r="A358" s="3"/>
      <c r="B358" s="3" t="s">
        <v>134</v>
      </c>
      <c r="C358" s="3"/>
      <c r="D358" s="3"/>
      <c r="E358" s="3"/>
      <c r="F358" s="3"/>
      <c r="G358" s="3"/>
      <c r="H358" s="3"/>
      <c r="I358" s="3"/>
      <c r="J358" s="3"/>
      <c r="L358" s="3">
        <f>SUM(L344+L347+L350+L353+L356)</f>
        <v>0</v>
      </c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s="41" customFormat="1" ht="15.75" thickBot="1">
      <c r="A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5.75" thickBot="1">
      <c r="A361" s="116" t="s">
        <v>95</v>
      </c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8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>
      <c r="A362" s="3"/>
      <c r="B362" s="3" t="s">
        <v>135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>
      <c r="A363" s="3"/>
      <c r="B363" s="3" t="s">
        <v>98</v>
      </c>
      <c r="C363" s="3"/>
      <c r="D363" s="3"/>
      <c r="E363" s="3"/>
      <c r="F363" s="3"/>
      <c r="G363" s="3"/>
      <c r="H363" s="3"/>
      <c r="I363" s="3"/>
      <c r="J363" s="3"/>
      <c r="L363" s="3">
        <f>K362</f>
        <v>0</v>
      </c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s="41" customForma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s="41" customFormat="1">
      <c r="A365" s="3"/>
      <c r="B365" s="3" t="s">
        <v>136</v>
      </c>
      <c r="C365" s="3"/>
      <c r="D365" s="3"/>
      <c r="E365" s="3"/>
      <c r="F365" s="3"/>
      <c r="G365" s="3"/>
      <c r="H365" s="3"/>
      <c r="I365" s="3"/>
      <c r="J365" s="3"/>
      <c r="L365" s="3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>
      <c r="A366" s="3"/>
      <c r="B366" s="3" t="s">
        <v>98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s="41" customFormat="1">
      <c r="A368" s="3"/>
      <c r="B368" s="3" t="s">
        <v>137</v>
      </c>
      <c r="C368" s="3"/>
      <c r="D368" s="3"/>
      <c r="E368" s="3"/>
      <c r="F368" s="3"/>
      <c r="G368" s="3"/>
      <c r="H368" s="3"/>
      <c r="I368" s="3"/>
      <c r="J368" s="3"/>
      <c r="L368" s="3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s="41" customFormat="1">
      <c r="A369" s="3"/>
      <c r="B369" s="3" t="s">
        <v>98</v>
      </c>
      <c r="C369" s="3"/>
      <c r="D369" s="3"/>
      <c r="E369" s="3"/>
      <c r="F369" s="3"/>
      <c r="G369" s="3"/>
      <c r="H369" s="3"/>
      <c r="I369" s="3"/>
      <c r="J369" s="3"/>
      <c r="L369" s="3">
        <f>L368</f>
        <v>0</v>
      </c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L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46" t="s">
        <v>138</v>
      </c>
      <c r="C371" s="41" t="s">
        <v>230</v>
      </c>
      <c r="L371" s="41">
        <v>500</v>
      </c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41" t="s">
        <v>231</v>
      </c>
      <c r="C372" s="41" t="s">
        <v>232</v>
      </c>
      <c r="L372" s="41">
        <f>30*F5</f>
        <v>600</v>
      </c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46" t="s">
        <v>98</v>
      </c>
      <c r="L373" s="41">
        <f>L371+L372</f>
        <v>1100</v>
      </c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46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46" t="s">
        <v>139</v>
      </c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46" t="s">
        <v>98</v>
      </c>
      <c r="L376" s="41">
        <f>L375</f>
        <v>0</v>
      </c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46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6.5" customHeight="1">
      <c r="A378" s="3"/>
      <c r="B378" s="46" t="s">
        <v>140</v>
      </c>
      <c r="C378" s="41"/>
      <c r="D378" s="41"/>
      <c r="E378" s="41"/>
      <c r="F378" s="41"/>
      <c r="G378" s="41"/>
      <c r="H378" s="41"/>
      <c r="I378" s="41"/>
      <c r="J378" s="41"/>
      <c r="L378" s="41">
        <f>SUM(L363+L366+L369+L373+L376)</f>
        <v>1100</v>
      </c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16.5" customHeight="1" thickBot="1">
      <c r="A379" s="3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16.5" customHeight="1" thickBot="1">
      <c r="A380" s="116" t="s">
        <v>94</v>
      </c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8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16.5" customHeight="1">
      <c r="A381" s="31"/>
      <c r="B381" s="3" t="s">
        <v>141</v>
      </c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16.5" customHeight="1">
      <c r="A382" s="31"/>
      <c r="B382" s="3" t="s">
        <v>128</v>
      </c>
      <c r="C382" s="31"/>
      <c r="D382" s="31"/>
      <c r="E382" s="31"/>
      <c r="F382" s="31"/>
      <c r="G382" s="31"/>
      <c r="H382" s="31"/>
      <c r="I382" s="31"/>
      <c r="J382" s="31"/>
      <c r="L382" s="38">
        <f>K381</f>
        <v>0</v>
      </c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16.5" customHeight="1">
      <c r="A383" s="31"/>
      <c r="B383" s="3"/>
      <c r="C383" s="31"/>
      <c r="D383" s="31"/>
      <c r="E383" s="31"/>
      <c r="F383" s="31"/>
      <c r="G383" s="31"/>
      <c r="H383" s="31"/>
      <c r="I383" s="31"/>
      <c r="J383" s="31"/>
      <c r="L383" s="38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6.5" customHeight="1">
      <c r="A384" s="31"/>
      <c r="B384" s="3" t="s">
        <v>142</v>
      </c>
      <c r="C384" s="31"/>
      <c r="D384" s="31"/>
      <c r="E384" s="31"/>
      <c r="F384" s="31"/>
      <c r="G384" s="31"/>
      <c r="H384" s="31"/>
      <c r="I384" s="31"/>
      <c r="J384" s="31"/>
      <c r="L384" s="38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>
      <c r="A385" s="31"/>
      <c r="B385" s="3" t="s">
        <v>98</v>
      </c>
      <c r="C385" s="31"/>
      <c r="D385" s="31"/>
      <c r="E385" s="31"/>
      <c r="F385" s="31"/>
      <c r="G385" s="31"/>
      <c r="H385" s="31"/>
      <c r="I385" s="31"/>
      <c r="J385" s="31"/>
      <c r="L385" s="38">
        <f>L384</f>
        <v>0</v>
      </c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>
      <c r="A386" s="31"/>
      <c r="B386" s="3"/>
      <c r="C386" s="31"/>
      <c r="D386" s="31"/>
      <c r="E386" s="31"/>
      <c r="F386" s="31"/>
      <c r="G386" s="31"/>
      <c r="H386" s="31"/>
      <c r="I386" s="31"/>
      <c r="J386" s="31"/>
      <c r="L386" s="38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143</v>
      </c>
      <c r="C387" s="31"/>
      <c r="D387" s="31"/>
      <c r="E387" s="31"/>
      <c r="F387" s="31"/>
      <c r="G387" s="31"/>
      <c r="H387" s="31"/>
      <c r="I387" s="31"/>
      <c r="J387" s="31"/>
      <c r="L387" s="38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>
      <c r="A388" s="31"/>
      <c r="B388" s="3" t="s">
        <v>98</v>
      </c>
      <c r="C388" s="31"/>
      <c r="D388" s="31"/>
      <c r="E388" s="31"/>
      <c r="F388" s="31"/>
      <c r="G388" s="31"/>
      <c r="H388" s="31"/>
      <c r="I388" s="31"/>
      <c r="J388" s="31"/>
      <c r="L388" s="38">
        <f>L387</f>
        <v>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>
      <c r="A389" s="31"/>
      <c r="B389" s="3"/>
      <c r="C389" s="31"/>
      <c r="D389" s="31"/>
      <c r="E389" s="31"/>
      <c r="F389" s="31"/>
      <c r="G389" s="31"/>
      <c r="H389" s="31"/>
      <c r="I389" s="31"/>
      <c r="J389" s="31"/>
      <c r="L389" s="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>
      <c r="A390" s="6"/>
      <c r="B390" s="46" t="s">
        <v>144</v>
      </c>
      <c r="L390" s="1">
        <f>SUM(L382+L385+L388)</f>
        <v>0</v>
      </c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6"/>
      <c r="B391" s="41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s="41" customFormat="1" ht="16.5" customHeight="1" thickBot="1">
      <c r="A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s="41" customFormat="1" ht="16.5" customHeight="1" thickBot="1">
      <c r="A393" s="116" t="s">
        <v>93</v>
      </c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8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s="41" customFormat="1" ht="16.5" customHeight="1">
      <c r="A394" s="3"/>
      <c r="B394" s="3" t="s">
        <v>145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s="41" customFormat="1" ht="16.5" customHeight="1">
      <c r="A395" s="3"/>
      <c r="B395" s="32" t="s">
        <v>26</v>
      </c>
      <c r="C395" s="3"/>
      <c r="D395" s="3"/>
      <c r="E395" s="3"/>
      <c r="F395" s="3"/>
      <c r="G395" s="3"/>
      <c r="H395" s="3"/>
      <c r="I395" s="3"/>
      <c r="J395" s="3"/>
      <c r="L395" s="32">
        <v>500</v>
      </c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s="41" customFormat="1" ht="16.5" customHeight="1">
      <c r="A396" s="3"/>
      <c r="B396" s="3" t="s">
        <v>98</v>
      </c>
      <c r="C396" s="3"/>
      <c r="D396" s="3"/>
      <c r="E396" s="3"/>
      <c r="F396" s="3"/>
      <c r="G396" s="3"/>
      <c r="H396" s="3"/>
      <c r="I396" s="3"/>
      <c r="J396" s="3"/>
      <c r="L396" s="3">
        <f>SUM(L395:L395)</f>
        <v>500</v>
      </c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s="41" customFormat="1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L397" s="3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s="41" customFormat="1" ht="16.5" customHeight="1">
      <c r="A398" s="3"/>
      <c r="B398" s="3" t="s">
        <v>146</v>
      </c>
      <c r="C398" s="3"/>
      <c r="D398" s="3"/>
      <c r="E398" s="3"/>
      <c r="F398" s="3"/>
      <c r="G398" s="3"/>
      <c r="H398" s="3"/>
      <c r="I398" s="3"/>
      <c r="J398" s="3"/>
      <c r="L398" s="3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s="41" customFormat="1" ht="16.5" customHeight="1">
      <c r="A399" s="3"/>
      <c r="B399" s="3" t="s">
        <v>99</v>
      </c>
      <c r="C399" s="3"/>
      <c r="D399" s="3"/>
      <c r="E399" s="3"/>
      <c r="F399" s="3"/>
      <c r="G399" s="3"/>
      <c r="H399" s="3"/>
      <c r="I399" s="3"/>
      <c r="J399" s="3"/>
      <c r="L399" s="3">
        <f>SUM(L398:L398)</f>
        <v>0</v>
      </c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s="41" customFormat="1">
      <c r="A400" s="3"/>
      <c r="B400" s="3"/>
      <c r="C400" s="3"/>
      <c r="D400" s="3"/>
      <c r="E400" s="3"/>
      <c r="F400" s="3"/>
      <c r="G400" s="3"/>
      <c r="H400" s="3"/>
      <c r="I400" s="3"/>
      <c r="J400" s="3"/>
      <c r="L400" s="3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s="41" customFormat="1">
      <c r="A401" s="8"/>
      <c r="B401" s="8" t="s">
        <v>147</v>
      </c>
      <c r="C401" s="15"/>
      <c r="D401" s="15"/>
      <c r="E401" s="15"/>
      <c r="F401" s="15"/>
      <c r="G401" s="15"/>
      <c r="H401" s="15"/>
      <c r="I401" s="15"/>
      <c r="J401" s="15"/>
      <c r="L401" s="15">
        <f>SUM(L396+L399)</f>
        <v>500</v>
      </c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>
      <c r="A402" s="27"/>
      <c r="B402" s="27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5.75" thickBot="1">
      <c r="A403" s="27"/>
      <c r="B403" s="27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15.75" thickBot="1">
      <c r="A404" s="37" t="s">
        <v>101</v>
      </c>
      <c r="B404" s="49"/>
      <c r="C404" s="50"/>
      <c r="D404" s="50"/>
      <c r="E404" s="50"/>
      <c r="F404" s="50"/>
      <c r="G404" s="50"/>
      <c r="H404" s="50"/>
      <c r="I404" s="50"/>
      <c r="J404" s="50"/>
      <c r="K404" s="50"/>
      <c r="L404" s="51">
        <f>SUM(L72+L95+L152+L177++L204+L247+L282+L290+L320+L340+L358+L378+L390+L401)</f>
        <v>286296.33333333337</v>
      </c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>
      <c r="A405" s="19"/>
      <c r="B405" s="19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1:21">
      <c r="A406" s="33"/>
      <c r="B406" s="19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>
      <c r="A407" s="9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</sheetData>
  <mergeCells count="18">
    <mergeCell ref="A28:L28"/>
    <mergeCell ref="A75:L75"/>
    <mergeCell ref="A187:L187"/>
    <mergeCell ref="A249:L249"/>
    <mergeCell ref="A97:L97"/>
    <mergeCell ref="A207:L207"/>
    <mergeCell ref="A154:L154"/>
    <mergeCell ref="C156:G156"/>
    <mergeCell ref="H156:K156"/>
    <mergeCell ref="C128:G128"/>
    <mergeCell ref="H128:K128"/>
    <mergeCell ref="A380:L380"/>
    <mergeCell ref="A393:L393"/>
    <mergeCell ref="A284:L284"/>
    <mergeCell ref="A294:L294"/>
    <mergeCell ref="A322:L322"/>
    <mergeCell ref="A342:L342"/>
    <mergeCell ref="A361:L3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8B32886-F755-4BE2-91FC-C83383AB502D}"/>
</file>

<file path=customXml/itemProps2.xml><?xml version="1.0" encoding="utf-8"?>
<ds:datastoreItem xmlns:ds="http://schemas.openxmlformats.org/officeDocument/2006/customXml" ds:itemID="{0A627065-2EBC-4950-80A5-8F4BFD7E88BE}"/>
</file>

<file path=customXml/itemProps3.xml><?xml version="1.0" encoding="utf-8"?>
<ds:datastoreItem xmlns:ds="http://schemas.openxmlformats.org/officeDocument/2006/customXml" ds:itemID="{51C08A3C-F39A-4781-B5D6-0A8D9B038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Sam Kind</cp:lastModifiedBy>
  <dcterms:created xsi:type="dcterms:W3CDTF">2016-06-20T14:10:47Z</dcterms:created>
  <dcterms:modified xsi:type="dcterms:W3CDTF">2016-07-08T12:44:36Z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