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hull2017.sharepoint.com/Projects/BBC Radio 1 Big Weekend/A_Budget/Chris' Working Budget/"/>
    </mc:Choice>
  </mc:AlternateContent>
  <bookViews>
    <workbookView xWindow="0" yWindow="0" windowWidth="28800" windowHeight="12210" tabRatio="846"/>
  </bookViews>
  <sheets>
    <sheet name="R1BW topline budget" sheetId="14" r:id="rId1"/>
    <sheet name="Groundworks" sheetId="16" r:id="rId2"/>
    <sheet name="Summary" sheetId="11" r:id="rId3"/>
    <sheet name="Income" sheetId="10" r:id="rId4"/>
    <sheet name="PM-TM" sheetId="12" r:id="rId5"/>
    <sheet name="EXP. all sites" sheetId="17" r:id="rId6"/>
    <sheet name="EXP. BC" sheetId="2" r:id="rId7"/>
    <sheet name="EXP. Walton St" sheetId="3" r:id="rId8"/>
    <sheet name="EXP. Leconfield" sheetId="4" r:id="rId9"/>
    <sheet name="EXP. Interchange" sheetId="5" r:id="rId10"/>
    <sheet name="EXP. Grove Hill" sheetId="7" r:id="rId11"/>
    <sheet name="EXP. Buses" sheetId="8" r:id="rId12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8" i="14" l="1"/>
  <c r="I68" i="14"/>
  <c r="H68" i="14"/>
  <c r="J9" i="14"/>
  <c r="J10" i="14"/>
  <c r="J11" i="14"/>
  <c r="J12" i="14"/>
  <c r="J13" i="14"/>
  <c r="J14" i="14"/>
  <c r="J15" i="14"/>
  <c r="J17" i="14"/>
  <c r="J18" i="14"/>
  <c r="J19" i="14"/>
  <c r="J20" i="14"/>
  <c r="J21" i="14"/>
  <c r="J22" i="14"/>
  <c r="J23" i="14"/>
  <c r="J24" i="14"/>
  <c r="J26" i="14"/>
  <c r="J27" i="14"/>
  <c r="J28" i="14"/>
  <c r="J29" i="14"/>
  <c r="J30" i="14"/>
  <c r="J31" i="14"/>
  <c r="J32" i="14"/>
  <c r="J33" i="14"/>
  <c r="J34" i="14"/>
  <c r="J36" i="14"/>
  <c r="J37" i="14"/>
  <c r="J39" i="14"/>
  <c r="J40" i="14"/>
  <c r="J41" i="14"/>
  <c r="J42" i="14"/>
  <c r="J44" i="14"/>
  <c r="J45" i="14"/>
  <c r="J46" i="14"/>
  <c r="J48" i="14"/>
  <c r="J49" i="14"/>
  <c r="J51" i="14"/>
  <c r="J52" i="14"/>
  <c r="J53" i="14"/>
  <c r="J54" i="14"/>
  <c r="J56" i="14"/>
  <c r="J57" i="14"/>
  <c r="J58" i="14"/>
  <c r="J60" i="14"/>
  <c r="J61" i="14"/>
  <c r="J63" i="14"/>
  <c r="J64" i="14"/>
  <c r="J66" i="14"/>
  <c r="J67" i="14"/>
  <c r="J8" i="14"/>
  <c r="H24" i="14"/>
  <c r="H52" i="14"/>
  <c r="I56" i="14"/>
  <c r="H56" i="14"/>
  <c r="H8" i="14"/>
  <c r="I29" i="14"/>
  <c r="H17" i="14"/>
  <c r="I24" i="14"/>
  <c r="H39" i="14"/>
  <c r="H9" i="14"/>
  <c r="E32" i="14" l="1"/>
  <c r="O21" i="10"/>
  <c r="D16" i="10"/>
  <c r="F16" i="10"/>
  <c r="I16" i="10"/>
  <c r="N16" i="10"/>
  <c r="D14" i="10"/>
  <c r="F14" i="10"/>
  <c r="I14" i="10"/>
  <c r="N14" i="10"/>
  <c r="D13" i="10"/>
  <c r="F13" i="10"/>
  <c r="G13" i="10"/>
  <c r="I13" i="10"/>
  <c r="N13" i="10"/>
  <c r="D11" i="10"/>
  <c r="F11" i="10"/>
  <c r="G11" i="10"/>
  <c r="I11" i="10"/>
  <c r="N11" i="10"/>
  <c r="D9" i="10"/>
  <c r="F9" i="10"/>
  <c r="I9" i="10"/>
  <c r="N9" i="10"/>
  <c r="D8" i="10"/>
  <c r="F8" i="10"/>
  <c r="G8" i="10"/>
  <c r="I8" i="10"/>
  <c r="N8" i="10"/>
  <c r="D6" i="10"/>
  <c r="F6" i="10"/>
  <c r="G6" i="10"/>
  <c r="I6" i="10"/>
  <c r="N6" i="10"/>
  <c r="M6" i="10"/>
  <c r="O6" i="10"/>
  <c r="M8" i="10"/>
  <c r="O8" i="10"/>
  <c r="M9" i="10"/>
  <c r="O9" i="10"/>
  <c r="M16" i="10"/>
  <c r="O16" i="10"/>
  <c r="E8" i="16"/>
  <c r="E9" i="16"/>
  <c r="E10" i="16"/>
  <c r="E11" i="16"/>
  <c r="E12" i="16"/>
  <c r="E13" i="16"/>
  <c r="E14" i="16"/>
  <c r="E15" i="16"/>
  <c r="E16" i="16"/>
  <c r="F7" i="16"/>
  <c r="D38" i="10"/>
  <c r="F38" i="10"/>
  <c r="I38" i="10"/>
  <c r="K38" i="10"/>
  <c r="L38" i="10"/>
  <c r="D36" i="10"/>
  <c r="F36" i="10"/>
  <c r="I36" i="10"/>
  <c r="K36" i="10"/>
  <c r="L36" i="10"/>
  <c r="D31" i="10"/>
  <c r="F31" i="10"/>
  <c r="I31" i="10"/>
  <c r="K31" i="10"/>
  <c r="L31" i="10"/>
  <c r="D35" i="10"/>
  <c r="F35" i="10"/>
  <c r="G35" i="10"/>
  <c r="I35" i="10"/>
  <c r="K35" i="10"/>
  <c r="L35" i="10"/>
  <c r="D33" i="10"/>
  <c r="F33" i="10"/>
  <c r="G33" i="10"/>
  <c r="I33" i="10"/>
  <c r="K33" i="10"/>
  <c r="L33" i="10"/>
  <c r="D30" i="10"/>
  <c r="F30" i="10"/>
  <c r="G30" i="10"/>
  <c r="I30" i="10"/>
  <c r="K30" i="10"/>
  <c r="L30" i="10"/>
  <c r="D28" i="10"/>
  <c r="F28" i="10"/>
  <c r="G28" i="10"/>
  <c r="I28" i="10"/>
  <c r="K28" i="10"/>
  <c r="L28" i="10"/>
  <c r="L22" i="10"/>
  <c r="K22" i="10"/>
  <c r="L21" i="10"/>
  <c r="K21" i="10"/>
  <c r="A76" i="14"/>
  <c r="M28" i="10"/>
  <c r="M30" i="10"/>
  <c r="M31" i="10"/>
  <c r="M33" i="10"/>
  <c r="M35" i="10"/>
  <c r="M36" i="10"/>
  <c r="M38" i="10"/>
  <c r="F5" i="11"/>
  <c r="G9" i="10"/>
  <c r="M11" i="10"/>
  <c r="O11" i="10"/>
  <c r="M13" i="10"/>
  <c r="O13" i="10"/>
  <c r="M14" i="10"/>
  <c r="O14" i="10"/>
  <c r="G14" i="10"/>
  <c r="G16" i="10"/>
  <c r="E5" i="17"/>
  <c r="E6" i="17"/>
  <c r="E7" i="17"/>
  <c r="E8" i="17"/>
  <c r="E9" i="17"/>
  <c r="E10" i="17"/>
  <c r="E11" i="17"/>
  <c r="E12" i="17"/>
  <c r="E13" i="17"/>
  <c r="E14" i="17"/>
  <c r="E16" i="17"/>
  <c r="C14" i="11"/>
  <c r="C23" i="14"/>
  <c r="E23" i="14"/>
  <c r="G38" i="10"/>
  <c r="G36" i="10"/>
  <c r="G31" i="10"/>
  <c r="E22" i="8"/>
  <c r="E20" i="8"/>
  <c r="E13" i="12"/>
  <c r="E36" i="8"/>
  <c r="E35" i="8"/>
  <c r="E5" i="2"/>
  <c r="E6" i="2"/>
  <c r="E8" i="2"/>
  <c r="E9" i="2"/>
  <c r="E10" i="2"/>
  <c r="E11" i="2"/>
  <c r="E12" i="2"/>
  <c r="E24" i="2"/>
  <c r="E25" i="2"/>
  <c r="C12" i="14"/>
  <c r="E12" i="14"/>
  <c r="E8" i="14"/>
  <c r="E9" i="14"/>
  <c r="E10" i="14"/>
  <c r="E11" i="14"/>
  <c r="E13" i="14"/>
  <c r="E14" i="14"/>
  <c r="E15" i="14"/>
  <c r="F7" i="14"/>
  <c r="E63" i="14"/>
  <c r="F62" i="14"/>
  <c r="E66" i="14"/>
  <c r="F65" i="14"/>
  <c r="E60" i="14"/>
  <c r="F59" i="14"/>
  <c r="E31" i="14"/>
  <c r="E40" i="14"/>
  <c r="E11" i="8"/>
  <c r="E12" i="8"/>
  <c r="E13" i="4"/>
  <c r="E10" i="8"/>
  <c r="E14" i="8"/>
  <c r="E16" i="8"/>
  <c r="E13" i="8"/>
  <c r="E74" i="14"/>
  <c r="E26" i="14"/>
  <c r="E27" i="14"/>
  <c r="E28" i="14"/>
  <c r="E29" i="14"/>
  <c r="E30" i="14"/>
  <c r="E33" i="14"/>
  <c r="E34" i="14"/>
  <c r="F25" i="14"/>
  <c r="E36" i="14"/>
  <c r="E37" i="14"/>
  <c r="E39" i="14"/>
  <c r="E41" i="14"/>
  <c r="E42" i="14"/>
  <c r="E44" i="14"/>
  <c r="E45" i="14"/>
  <c r="E46" i="14"/>
  <c r="F43" i="14"/>
  <c r="E48" i="14"/>
  <c r="E49" i="14"/>
  <c r="E51" i="14"/>
  <c r="E52" i="14"/>
  <c r="E53" i="14"/>
  <c r="E54" i="14"/>
  <c r="E56" i="14"/>
  <c r="E58" i="14"/>
  <c r="F55" i="14"/>
  <c r="E73" i="14"/>
  <c r="E21" i="8"/>
  <c r="E10" i="4"/>
  <c r="E6" i="12"/>
  <c r="E14" i="12"/>
  <c r="E12" i="12"/>
  <c r="E10" i="12"/>
  <c r="E9" i="12"/>
  <c r="E7" i="12"/>
  <c r="E5" i="12"/>
  <c r="E16" i="12"/>
  <c r="C8" i="11"/>
  <c r="C17" i="14"/>
  <c r="E17" i="14"/>
  <c r="E34" i="8"/>
  <c r="E32" i="8"/>
  <c r="E6" i="8"/>
  <c r="E7" i="8"/>
  <c r="E8" i="8"/>
  <c r="E17" i="8"/>
  <c r="E19" i="8"/>
  <c r="E23" i="8"/>
  <c r="E24" i="8"/>
  <c r="E25" i="8"/>
  <c r="E27" i="8"/>
  <c r="E28" i="8"/>
  <c r="E29" i="8"/>
  <c r="E30" i="8"/>
  <c r="E5" i="8"/>
  <c r="E21" i="7"/>
  <c r="E20" i="7"/>
  <c r="E19" i="7"/>
  <c r="E18" i="7"/>
  <c r="E17" i="7"/>
  <c r="E16" i="7"/>
  <c r="E5" i="7"/>
  <c r="E6" i="7"/>
  <c r="E8" i="7"/>
  <c r="E9" i="7"/>
  <c r="E10" i="7"/>
  <c r="E12" i="7"/>
  <c r="E13" i="7"/>
  <c r="E14" i="7"/>
  <c r="E15" i="7"/>
  <c r="E23" i="7"/>
  <c r="C13" i="11"/>
  <c r="C22" i="14"/>
  <c r="E22" i="14"/>
  <c r="E19" i="5"/>
  <c r="E18" i="5"/>
  <c r="E17" i="5"/>
  <c r="E16" i="5"/>
  <c r="E15" i="5"/>
  <c r="E14" i="5"/>
  <c r="E13" i="5"/>
  <c r="E11" i="5"/>
  <c r="E5" i="5"/>
  <c r="E6" i="5"/>
  <c r="E8" i="5"/>
  <c r="E9" i="5"/>
  <c r="E10" i="5"/>
  <c r="E21" i="5"/>
  <c r="C12" i="11"/>
  <c r="C21" i="14"/>
  <c r="E21" i="14"/>
  <c r="E18" i="4"/>
  <c r="E17" i="4"/>
  <c r="E16" i="4"/>
  <c r="E15" i="4"/>
  <c r="E14" i="4"/>
  <c r="E12" i="4"/>
  <c r="E9" i="4"/>
  <c r="E8" i="4"/>
  <c r="E6" i="4"/>
  <c r="E5" i="4"/>
  <c r="E17" i="3"/>
  <c r="E16" i="3"/>
  <c r="E15" i="3"/>
  <c r="E14" i="3"/>
  <c r="E13" i="3"/>
  <c r="E12" i="3"/>
  <c r="E10" i="3"/>
  <c r="E9" i="3"/>
  <c r="E8" i="3"/>
  <c r="E6" i="3"/>
  <c r="E5" i="3"/>
  <c r="E22" i="2"/>
  <c r="E23" i="2"/>
  <c r="E14" i="2"/>
  <c r="E15" i="2"/>
  <c r="E16" i="2"/>
  <c r="E17" i="2"/>
  <c r="E18" i="2"/>
  <c r="E19" i="2"/>
  <c r="E20" i="2"/>
  <c r="E21" i="2"/>
  <c r="E19" i="3"/>
  <c r="C10" i="11"/>
  <c r="C19" i="14"/>
  <c r="E19" i="14"/>
  <c r="E20" i="4"/>
  <c r="C11" i="11"/>
  <c r="C20" i="14"/>
  <c r="E20" i="14"/>
  <c r="F47" i="14"/>
  <c r="F50" i="14"/>
  <c r="F35" i="14"/>
  <c r="E27" i="2"/>
  <c r="C9" i="11"/>
  <c r="C18" i="14"/>
  <c r="E18" i="14"/>
  <c r="F38" i="14"/>
  <c r="M40" i="10"/>
  <c r="E39" i="8"/>
  <c r="C15" i="11"/>
  <c r="C24" i="14"/>
  <c r="E24" i="14"/>
  <c r="F16" i="14"/>
  <c r="F68" i="14"/>
  <c r="E76" i="14"/>
  <c r="C18" i="11"/>
  <c r="C75" i="14"/>
  <c r="E75" i="14"/>
  <c r="F72" i="14"/>
  <c r="F78" i="14"/>
  <c r="B4" i="11"/>
  <c r="M42" i="10"/>
  <c r="B17" i="11"/>
  <c r="B21" i="11"/>
</calcChain>
</file>

<file path=xl/sharedStrings.xml><?xml version="1.0" encoding="utf-8"?>
<sst xmlns="http://schemas.openxmlformats.org/spreadsheetml/2006/main" count="460" uniqueCount="272">
  <si>
    <t>Project</t>
  </si>
  <si>
    <t>Radio One Big Weekend - C100</t>
  </si>
  <si>
    <t>Version</t>
  </si>
  <si>
    <t>LIVE</t>
  </si>
  <si>
    <t>Item</t>
  </si>
  <si>
    <t>Unit Cost</t>
  </si>
  <si>
    <t>Quantity</t>
  </si>
  <si>
    <t>Cost</t>
  </si>
  <si>
    <t>Notes</t>
  </si>
  <si>
    <t>1. Venue Costs</t>
  </si>
  <si>
    <t>K162 / ZK108</t>
  </si>
  <si>
    <t>Licence application fee</t>
  </si>
  <si>
    <t>premises licence</t>
  </si>
  <si>
    <t>K136 / ZK107</t>
  </si>
  <si>
    <t>Alternative grazing, fencing etc.</t>
  </si>
  <si>
    <t xml:space="preserve">as per contract </t>
  </si>
  <si>
    <t>Additional costs (Xan's field)</t>
  </si>
  <si>
    <t>production holing area</t>
  </si>
  <si>
    <t>Grass cutting</t>
  </si>
  <si>
    <t>100 acre</t>
  </si>
  <si>
    <t>K257 / ZK107</t>
  </si>
  <si>
    <t>Ground works</t>
  </si>
  <si>
    <t>see separate tab</t>
  </si>
  <si>
    <t>Loss of income</t>
  </si>
  <si>
    <t>house and café</t>
  </si>
  <si>
    <t>BC Legal fees</t>
  </si>
  <si>
    <t>Updated quote</t>
  </si>
  <si>
    <t>Natural England fees</t>
  </si>
  <si>
    <t>for advice</t>
  </si>
  <si>
    <t>2. Traffic &amp; Bus Operations - see tab for codes if not below</t>
  </si>
  <si>
    <t>see tab</t>
  </si>
  <si>
    <t>Project &amp; traffic management</t>
  </si>
  <si>
    <t>K161 / ZK103</t>
  </si>
  <si>
    <t>Burton Constable</t>
  </si>
  <si>
    <t>K223 / ZK103</t>
  </si>
  <si>
    <t>Walton Street</t>
  </si>
  <si>
    <t>Leconfield</t>
  </si>
  <si>
    <t>Interchange</t>
  </si>
  <si>
    <t xml:space="preserve">Grove Hill </t>
  </si>
  <si>
    <t>K253 / ZK103</t>
  </si>
  <si>
    <t>Across all sites</t>
  </si>
  <si>
    <t>Buses</t>
  </si>
  <si>
    <t>3. Emergency Services &amp; Medical</t>
  </si>
  <si>
    <t>K261 / ZK107</t>
  </si>
  <si>
    <t>Police</t>
  </si>
  <si>
    <t>Value in Kind</t>
  </si>
  <si>
    <t xml:space="preserve">Fire </t>
  </si>
  <si>
    <t>Attendance at Silver and Bronze x 2 days</t>
  </si>
  <si>
    <t>Ambulance</t>
  </si>
  <si>
    <t>Attendance at Silver - 2 days</t>
  </si>
  <si>
    <t>K259 / ZK107</t>
  </si>
  <si>
    <t>Medical &amp; first aid provision</t>
  </si>
  <si>
    <t>St John Ambulance</t>
  </si>
  <si>
    <t>K246 / ZK107</t>
  </si>
  <si>
    <t>Welfare provision</t>
  </si>
  <si>
    <t>K247 / ZK107</t>
  </si>
  <si>
    <t>Marquees</t>
  </si>
  <si>
    <t>Furniture</t>
  </si>
  <si>
    <t>Heating</t>
  </si>
  <si>
    <t>Welfare tent</t>
  </si>
  <si>
    <t>50% split with BBC</t>
  </si>
  <si>
    <t>4. Signage</t>
  </si>
  <si>
    <t>K271 / ZK109</t>
  </si>
  <si>
    <t>Signage outside event locations</t>
  </si>
  <si>
    <t>allowance</t>
  </si>
  <si>
    <t>5. Waste Management</t>
  </si>
  <si>
    <t>K145 / ZK107</t>
  </si>
  <si>
    <t xml:space="preserve">Ryans </t>
  </si>
  <si>
    <t>Ryans</t>
  </si>
  <si>
    <t>cabins</t>
  </si>
  <si>
    <t>Buggies</t>
  </si>
  <si>
    <t>water, power etc.</t>
  </si>
  <si>
    <t>6. Security &amp; stewarding</t>
  </si>
  <si>
    <t>K227 / ZK103</t>
  </si>
  <si>
    <t>Outiside the fence</t>
  </si>
  <si>
    <t>CN Security</t>
  </si>
  <si>
    <t>7.  Health &amp; Safety Management</t>
  </si>
  <si>
    <t>K244 / ZK106</t>
  </si>
  <si>
    <t>H&amp;S consultant per day</t>
  </si>
  <si>
    <t xml:space="preserve">Noise management plan </t>
  </si>
  <si>
    <t>8. Other costs</t>
  </si>
  <si>
    <t>K245 / ZK106</t>
  </si>
  <si>
    <t>Lost property</t>
  </si>
  <si>
    <t>K278 / ZK110</t>
  </si>
  <si>
    <t>Resident engagement</t>
  </si>
  <si>
    <t>K247 / ZK106</t>
  </si>
  <si>
    <t>Contribution to BBC costs</t>
  </si>
  <si>
    <t>9. Marketing &amp; Communications</t>
  </si>
  <si>
    <t>K270 / ZK109</t>
  </si>
  <si>
    <t xml:space="preserve">Branding </t>
  </si>
  <si>
    <t>onsite, stations etc.</t>
  </si>
  <si>
    <t>10. Contingency</t>
  </si>
  <si>
    <t>K283 / ZK111</t>
  </si>
  <si>
    <t>contingency</t>
  </si>
  <si>
    <t>11. VAT liability</t>
  </si>
  <si>
    <t>K266 / ZK108</t>
  </si>
  <si>
    <t>potential VAT liability</t>
  </si>
  <si>
    <t>12. Miscellaenous/Admin</t>
  </si>
  <si>
    <t>K299 / ZK114</t>
  </si>
  <si>
    <t>Misc / Admin / Travel etc</t>
  </si>
  <si>
    <t>Expenditure subtotal</t>
  </si>
  <si>
    <t>11. Income</t>
  </si>
  <si>
    <t>Hull City Council</t>
  </si>
  <si>
    <t>ERYC</t>
  </si>
  <si>
    <t>Bus Operation - ACTUALS</t>
  </si>
  <si>
    <t>Bus Operation - FORECAST</t>
  </si>
  <si>
    <t>Profit / Loss</t>
  </si>
  <si>
    <t>notes:</t>
  </si>
  <si>
    <t>i</t>
  </si>
  <si>
    <t>E &amp; OE</t>
  </si>
  <si>
    <t>ii</t>
  </si>
  <si>
    <t>all costs exclude VAT</t>
  </si>
  <si>
    <t>iii</t>
  </si>
  <si>
    <t>all costs in GBP sterling</t>
  </si>
  <si>
    <t>iv</t>
  </si>
  <si>
    <t>costs relate to current propsals and concepts</t>
  </si>
  <si>
    <t>v</t>
  </si>
  <si>
    <t>Insurance excluded</t>
  </si>
  <si>
    <t>Onsite Ground works</t>
  </si>
  <si>
    <t>Bus entrance ramps</t>
  </si>
  <si>
    <t>Tarmac access road</t>
  </si>
  <si>
    <t>Remove and replace fencing</t>
  </si>
  <si>
    <t>North access road works</t>
  </si>
  <si>
    <t>K265 / ZK107</t>
  </si>
  <si>
    <t>South access road works</t>
  </si>
  <si>
    <t>Additional ramp</t>
  </si>
  <si>
    <t>missed from original scope</t>
  </si>
  <si>
    <t>Fence works, bus plan B</t>
  </si>
  <si>
    <t>extra fence removal</t>
  </si>
  <si>
    <t>Radio 1 Big Weekend Bus Operation Income / Expenditure Summary</t>
  </si>
  <si>
    <t>Income</t>
  </si>
  <si>
    <t>Actual sales</t>
  </si>
  <si>
    <t>Forecast sales</t>
  </si>
  <si>
    <t>forecast at</t>
  </si>
  <si>
    <t>sales of capacity</t>
  </si>
  <si>
    <t>Expenditure</t>
  </si>
  <si>
    <t>Project &amp; Traffic Management</t>
  </si>
  <si>
    <t>Hedon</t>
  </si>
  <si>
    <t>Grove Hill</t>
  </si>
  <si>
    <t xml:space="preserve">Buses </t>
  </si>
  <si>
    <t>Income Total</t>
  </si>
  <si>
    <t>Expenditure Total</t>
  </si>
  <si>
    <t>Radio 1 Big Weekend Bus Operation Income</t>
  </si>
  <si>
    <t xml:space="preserve">ACTUALS - </t>
  </si>
  <si>
    <t>20/05/2017</t>
  </si>
  <si>
    <t>Gross</t>
  </si>
  <si>
    <t>postage £</t>
  </si>
  <si>
    <t>£ after postage</t>
  </si>
  <si>
    <t>Commission % on gross</t>
  </si>
  <si>
    <t>Commission £</t>
  </si>
  <si>
    <t>£ after commission</t>
  </si>
  <si>
    <t>VAT?</t>
  </si>
  <si>
    <t>Net £</t>
  </si>
  <si>
    <t>Total Capacity</t>
  </si>
  <si>
    <t>Sat Sales</t>
  </si>
  <si>
    <t>Sun Sales</t>
  </si>
  <si>
    <t>Sat Income</t>
  </si>
  <si>
    <t>Sun Income</t>
  </si>
  <si>
    <t>Combined Income</t>
  </si>
  <si>
    <t>Ticket Income</t>
  </si>
  <si>
    <t>Hull Paragon Interchange</t>
  </si>
  <si>
    <t>Bus tickets</t>
  </si>
  <si>
    <t>N</t>
  </si>
  <si>
    <t>Leconfield P&amp;R</t>
  </si>
  <si>
    <t>Car parking tickets</t>
  </si>
  <si>
    <t>y</t>
  </si>
  <si>
    <t>Walton St</t>
  </si>
  <si>
    <t>Onsite guest parking</t>
  </si>
  <si>
    <t>on the day sales</t>
  </si>
  <si>
    <t>refunds</t>
  </si>
  <si>
    <t>Bus total</t>
  </si>
  <si>
    <t>Total income to date</t>
  </si>
  <si>
    <t>Parking total</t>
  </si>
  <si>
    <t>Future Forecast at</t>
  </si>
  <si>
    <t>Bus :</t>
  </si>
  <si>
    <t>Parking:</t>
  </si>
  <si>
    <t>Guest parking</t>
  </si>
  <si>
    <t>Total (100% sales)</t>
  </si>
  <si>
    <t>Forecast Income per day</t>
  </si>
  <si>
    <t>Total Forecast Income</t>
  </si>
  <si>
    <t>Hedon P&amp;R</t>
  </si>
  <si>
    <t>Forecast Income minus actuals</t>
  </si>
  <si>
    <t>Radio 1 Big Weekend Bus Operation Expenditure - Project and Traffic Management</t>
  </si>
  <si>
    <t>Rate</t>
  </si>
  <si>
    <t>Days</t>
  </si>
  <si>
    <t>Total</t>
  </si>
  <si>
    <t>GB Ltd. - K137 / ZK107</t>
  </si>
  <si>
    <t>Pre production</t>
  </si>
  <si>
    <t>Onsite Managemnt</t>
  </si>
  <si>
    <t>Travel &amp; accomodation</t>
  </si>
  <si>
    <t>LTP - K265 / ZK107</t>
  </si>
  <si>
    <t>Initial fee</t>
  </si>
  <si>
    <t>Additional works</t>
  </si>
  <si>
    <t>SEP - K260 / ZK107</t>
  </si>
  <si>
    <t>Service fee</t>
  </si>
  <si>
    <t>SMC</t>
  </si>
  <si>
    <t xml:space="preserve">£4k from SEP to SMC for Walton Street </t>
  </si>
  <si>
    <t>Bus recovery vehicle</t>
  </si>
  <si>
    <t>Total:</t>
  </si>
  <si>
    <t>Radio 1 Big Weekend Bus Operation Expenditure - across all sites</t>
  </si>
  <si>
    <t>Infrastructure</t>
  </si>
  <si>
    <t>crew</t>
  </si>
  <si>
    <t>fuel &amp; bowser</t>
  </si>
  <si>
    <t>radios</t>
  </si>
  <si>
    <t>Liability disclaimer signs</t>
  </si>
  <si>
    <t>Radio 1 Big Weekend Bus Operation Expenditure - Burton Constable</t>
  </si>
  <si>
    <t>Venue Costs</t>
  </si>
  <si>
    <t>Hire fees</t>
  </si>
  <si>
    <t>Other venue costs</t>
  </si>
  <si>
    <t>Personnel</t>
  </si>
  <si>
    <t>Site Manager</t>
  </si>
  <si>
    <t>Asst. Site Manager</t>
  </si>
  <si>
    <t>Bus Controller</t>
  </si>
  <si>
    <t xml:space="preserve">Security </t>
  </si>
  <si>
    <t>Stewards</t>
  </si>
  <si>
    <t>Fencing</t>
  </si>
  <si>
    <t>CCB</t>
  </si>
  <si>
    <t>Trackway</t>
  </si>
  <si>
    <t>Trackway standby</t>
  </si>
  <si>
    <t>Lighting</t>
  </si>
  <si>
    <t>Signage</t>
  </si>
  <si>
    <t>Toilets</t>
  </si>
  <si>
    <t>VMS sign</t>
  </si>
  <si>
    <t>Cabins</t>
  </si>
  <si>
    <t>Loud hailers</t>
  </si>
  <si>
    <t>PA system</t>
  </si>
  <si>
    <t>Distro</t>
  </si>
  <si>
    <t>Radio 1 Big Weekend Bus Operation Expenditure - Walton St / KCOM</t>
  </si>
  <si>
    <t>First aid</t>
  </si>
  <si>
    <t>Waste Management</t>
  </si>
  <si>
    <t>Driver welfare</t>
  </si>
  <si>
    <t>lighting</t>
  </si>
  <si>
    <t>Radio 1 Big Weekend Bus Operation Expenditure - Leconfield</t>
  </si>
  <si>
    <t>Landscaping</t>
  </si>
  <si>
    <t>first aid</t>
  </si>
  <si>
    <t>Crew</t>
  </si>
  <si>
    <t>Driver Welfare</t>
  </si>
  <si>
    <t>Radio 1 Big Weekend Bus Operation Expenditure - Interchange</t>
  </si>
  <si>
    <t>First Aid</t>
  </si>
  <si>
    <t>Other 4</t>
  </si>
  <si>
    <t>Radio 1 Big Weekend Bus Operation Expenditure - Grove Hill</t>
  </si>
  <si>
    <t>Other 3</t>
  </si>
  <si>
    <t>Radio 1 Big Weekend Bus Operation Expenditure - Buses - Total Req. 169</t>
  </si>
  <si>
    <t>Operator  - EYMS - K115 / ZK102</t>
  </si>
  <si>
    <t>Supervisors</t>
  </si>
  <si>
    <t>Additional for non local buses</t>
  </si>
  <si>
    <t>Additional mileage</t>
  </si>
  <si>
    <t>All routes and operators</t>
  </si>
  <si>
    <t>Operator Stagecoach - K116 / ZK 102</t>
  </si>
  <si>
    <t>Buses local- 16 hours</t>
  </si>
  <si>
    <t>Buses national 16 hour</t>
  </si>
  <si>
    <t>Buses local 8 hour</t>
  </si>
  <si>
    <t>Substinence</t>
  </si>
  <si>
    <t>relocation of buses</t>
  </si>
  <si>
    <t>Accommodation</t>
  </si>
  <si>
    <t>Route registering</t>
  </si>
  <si>
    <t>Operator First Group - K202 / ZK102</t>
  </si>
  <si>
    <t>Egress bus</t>
  </si>
  <si>
    <t>Egress buses</t>
  </si>
  <si>
    <t>Other 2</t>
  </si>
  <si>
    <t>Operator Acklams - K203 / ZK102</t>
  </si>
  <si>
    <t>Sweeper</t>
  </si>
  <si>
    <t>Other 1</t>
  </si>
  <si>
    <t>Per route</t>
  </si>
  <si>
    <t>Wristbands K258 / ZK107</t>
  </si>
  <si>
    <t>Wristband printing</t>
  </si>
  <si>
    <t>Additional bands</t>
  </si>
  <si>
    <t>Change of services</t>
  </si>
  <si>
    <t>resident bands</t>
  </si>
  <si>
    <t>Actual spend</t>
  </si>
  <si>
    <t>PO's</t>
  </si>
  <si>
    <t>Budget remaining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</si>
</sst>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£&quot;#,##0.00"/>
    <numFmt numFmtId="165" formatCode="&quot;£&quot;#,##0"/>
    <numFmt numFmtId="167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color theme="0"/>
      <name val="Trebuchet MS"/>
      <family val="2"/>
    </font>
    <font>
      <sz val="11"/>
      <color theme="0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9"/>
      <color theme="1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9"/>
      <color theme="1"/>
      <name val="Trebuchet MS"/>
      <family val="2"/>
    </font>
    <font>
      <b/>
      <sz val="11"/>
      <color theme="1"/>
      <name val="Calibri"/>
      <family val="2"/>
      <scheme val="minor"/>
    </font>
    <font>
      <sz val="11"/>
      <name val="Trebuchet MS"/>
      <family val="2"/>
    </font>
    <font>
      <b/>
      <sz val="18"/>
      <color theme="0"/>
      <name val="Trebuchet MS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FBFBF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87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horizontal="center" vertical="center"/>
    </xf>
    <xf numFmtId="164" fontId="1" fillId="0" borderId="0" xfId="0" applyNumberFormat="1" applyFont="1"/>
    <xf numFmtId="164" fontId="4" fillId="2" borderId="0" xfId="0" applyNumberFormat="1" applyFont="1" applyFill="1"/>
    <xf numFmtId="0" fontId="3" fillId="2" borderId="0" xfId="0" applyFont="1" applyFill="1" applyAlignment="1">
      <alignment horizontal="left" vertical="center"/>
    </xf>
    <xf numFmtId="1" fontId="3" fillId="2" borderId="0" xfId="0" applyNumberFormat="1" applyFont="1" applyFill="1" applyAlignment="1">
      <alignment horizontal="left" vertical="center"/>
    </xf>
    <xf numFmtId="1" fontId="3" fillId="2" borderId="0" xfId="0" applyNumberFormat="1" applyFont="1" applyFill="1" applyAlignment="1">
      <alignment vertical="center"/>
    </xf>
    <xf numFmtId="1" fontId="1" fillId="0" borderId="0" xfId="0" applyNumberFormat="1" applyFont="1"/>
    <xf numFmtId="164" fontId="3" fillId="2" borderId="0" xfId="0" applyNumberFormat="1" applyFont="1" applyFill="1" applyAlignment="1">
      <alignment horizontal="left" vertical="center"/>
    </xf>
    <xf numFmtId="164" fontId="3" fillId="2" borderId="0" xfId="0" applyNumberFormat="1" applyFont="1" applyFill="1" applyAlignment="1">
      <alignment vertical="center"/>
    </xf>
    <xf numFmtId="0" fontId="5" fillId="0" borderId="0" xfId="0" applyFont="1"/>
    <xf numFmtId="164" fontId="5" fillId="0" borderId="0" xfId="0" applyNumberFormat="1" applyFont="1"/>
    <xf numFmtId="164" fontId="6" fillId="0" borderId="0" xfId="0" applyNumberFormat="1" applyFont="1"/>
    <xf numFmtId="0" fontId="6" fillId="0" borderId="0" xfId="0" applyFont="1"/>
    <xf numFmtId="1" fontId="6" fillId="0" borderId="0" xfId="0" applyNumberFormat="1" applyFont="1"/>
    <xf numFmtId="0" fontId="5" fillId="3" borderId="0" xfId="0" applyFont="1" applyFill="1"/>
    <xf numFmtId="164" fontId="5" fillId="3" borderId="0" xfId="0" applyNumberFormat="1" applyFont="1" applyFill="1"/>
    <xf numFmtId="1" fontId="5" fillId="3" borderId="0" xfId="0" applyNumberFormat="1" applyFont="1" applyFill="1"/>
    <xf numFmtId="164" fontId="6" fillId="3" borderId="0" xfId="0" applyNumberFormat="1" applyFont="1" applyFill="1"/>
    <xf numFmtId="1" fontId="6" fillId="3" borderId="0" xfId="0" applyNumberFormat="1" applyFont="1" applyFill="1"/>
    <xf numFmtId="164" fontId="5" fillId="0" borderId="1" xfId="0" applyNumberFormat="1" applyFont="1" applyBorder="1"/>
    <xf numFmtId="1" fontId="2" fillId="3" borderId="0" xfId="0" applyNumberFormat="1" applyFont="1" applyFill="1"/>
    <xf numFmtId="164" fontId="2" fillId="3" borderId="1" xfId="0" applyNumberFormat="1" applyFont="1" applyFill="1" applyBorder="1"/>
    <xf numFmtId="3" fontId="3" fillId="2" borderId="0" xfId="0" applyNumberFormat="1" applyFont="1" applyFill="1" applyAlignment="1">
      <alignment horizontal="left" vertical="center"/>
    </xf>
    <xf numFmtId="3" fontId="1" fillId="0" borderId="0" xfId="0" applyNumberFormat="1" applyFont="1"/>
    <xf numFmtId="3" fontId="6" fillId="0" borderId="0" xfId="0" applyNumberFormat="1" applyFont="1"/>
    <xf numFmtId="164" fontId="1" fillId="0" borderId="0" xfId="0" applyNumberFormat="1" applyFont="1" applyFill="1"/>
    <xf numFmtId="164" fontId="3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/>
    <xf numFmtId="164" fontId="6" fillId="2" borderId="0" xfId="0" applyNumberFormat="1" applyFont="1" applyFill="1"/>
    <xf numFmtId="1" fontId="6" fillId="2" borderId="0" xfId="0" applyNumberFormat="1" applyFont="1" applyFill="1"/>
    <xf numFmtId="0" fontId="5" fillId="0" borderId="0" xfId="0" applyFont="1" applyFill="1"/>
    <xf numFmtId="164" fontId="5" fillId="0" borderId="0" xfId="0" applyNumberFormat="1" applyFont="1" applyFill="1"/>
    <xf numFmtId="1" fontId="5" fillId="0" borderId="0" xfId="0" applyNumberFormat="1" applyFont="1" applyFill="1"/>
    <xf numFmtId="0" fontId="2" fillId="3" borderId="1" xfId="0" applyFont="1" applyFill="1" applyBorder="1"/>
    <xf numFmtId="0" fontId="1" fillId="2" borderId="0" xfId="0" applyFont="1" applyFill="1"/>
    <xf numFmtId="0" fontId="7" fillId="0" borderId="0" xfId="0" applyFont="1"/>
    <xf numFmtId="1" fontId="6" fillId="0" borderId="0" xfId="0" applyNumberFormat="1" applyFont="1" applyFill="1"/>
    <xf numFmtId="164" fontId="8" fillId="0" borderId="0" xfId="0" applyNumberFormat="1" applyFont="1" applyFill="1"/>
    <xf numFmtId="0" fontId="9" fillId="0" borderId="0" xfId="0" applyFont="1" applyFill="1" applyAlignment="1">
      <alignment vertical="center"/>
    </xf>
    <xf numFmtId="164" fontId="9" fillId="0" borderId="0" xfId="0" applyNumberFormat="1" applyFont="1" applyFill="1"/>
    <xf numFmtId="1" fontId="5" fillId="4" borderId="0" xfId="0" applyNumberFormat="1" applyFont="1" applyFill="1"/>
    <xf numFmtId="164" fontId="3" fillId="2" borderId="0" xfId="0" applyNumberFormat="1" applyFont="1" applyFill="1" applyAlignment="1">
      <alignment horizontal="center" vertical="center" wrapText="1"/>
    </xf>
    <xf numFmtId="9" fontId="3" fillId="2" borderId="0" xfId="0" applyNumberFormat="1" applyFont="1" applyFill="1" applyAlignment="1">
      <alignment horizontal="left" vertical="center"/>
    </xf>
    <xf numFmtId="9" fontId="6" fillId="0" borderId="0" xfId="0" applyNumberFormat="1" applyFont="1"/>
    <xf numFmtId="49" fontId="3" fillId="2" borderId="0" xfId="0" applyNumberFormat="1" applyFont="1" applyFill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164" fontId="6" fillId="5" borderId="0" xfId="0" applyNumberFormat="1" applyFont="1" applyFill="1"/>
    <xf numFmtId="164" fontId="5" fillId="5" borderId="0" xfId="0" applyNumberFormat="1" applyFont="1" applyFill="1"/>
    <xf numFmtId="3" fontId="3" fillId="2" borderId="0" xfId="0" applyNumberFormat="1" applyFont="1" applyFill="1" applyAlignment="1">
      <alignment horizontal="center" vertical="center" wrapText="1"/>
    </xf>
    <xf numFmtId="0" fontId="5" fillId="5" borderId="0" xfId="0" applyFont="1" applyFill="1"/>
    <xf numFmtId="9" fontId="5" fillId="5" borderId="0" xfId="0" applyNumberFormat="1" applyFont="1" applyFill="1"/>
    <xf numFmtId="49" fontId="5" fillId="5" borderId="0" xfId="0" applyNumberFormat="1" applyFont="1" applyFill="1" applyAlignment="1">
      <alignment horizontal="center"/>
    </xf>
    <xf numFmtId="3" fontId="5" fillId="5" borderId="0" xfId="0" applyNumberFormat="1" applyFont="1" applyFill="1"/>
    <xf numFmtId="9" fontId="3" fillId="2" borderId="0" xfId="0" applyNumberFormat="1" applyFont="1" applyFill="1" applyAlignment="1">
      <alignment horizontal="center" vertical="center" wrapText="1"/>
    </xf>
    <xf numFmtId="164" fontId="6" fillId="0" borderId="0" xfId="0" applyNumberFormat="1" applyFont="1" applyBorder="1"/>
    <xf numFmtId="49" fontId="5" fillId="6" borderId="0" xfId="0" applyNumberFormat="1" applyFont="1" applyFill="1" applyAlignment="1">
      <alignment horizontal="left" vertical="center"/>
    </xf>
    <xf numFmtId="0" fontId="5" fillId="6" borderId="0" xfId="0" applyFont="1" applyFill="1" applyAlignment="1">
      <alignment vertical="center"/>
    </xf>
    <xf numFmtId="0" fontId="6" fillId="6" borderId="0" xfId="0" applyFont="1" applyFill="1" applyAlignment="1" applyProtection="1">
      <alignment horizontal="left" indent="2"/>
      <protection locked="0"/>
    </xf>
    <xf numFmtId="49" fontId="5" fillId="6" borderId="3" xfId="0" applyNumberFormat="1" applyFont="1" applyFill="1" applyBorder="1" applyAlignment="1">
      <alignment horizontal="left" vertical="center"/>
    </xf>
    <xf numFmtId="0" fontId="5" fillId="6" borderId="3" xfId="0" applyFont="1" applyFill="1" applyBorder="1" applyAlignment="1">
      <alignment vertical="center"/>
    </xf>
    <xf numFmtId="0" fontId="5" fillId="6" borderId="3" xfId="0" applyFont="1" applyFill="1" applyBorder="1" applyAlignment="1">
      <alignment horizontal="right" vertical="center"/>
    </xf>
    <xf numFmtId="165" fontId="5" fillId="6" borderId="3" xfId="0" applyNumberFormat="1" applyFont="1" applyFill="1" applyBorder="1" applyAlignment="1">
      <alignment horizontal="right" vertical="center"/>
    </xf>
    <xf numFmtId="0" fontId="6" fillId="6" borderId="3" xfId="0" applyFont="1" applyFill="1" applyBorder="1" applyAlignment="1" applyProtection="1">
      <alignment horizontal="left" indent="2"/>
      <protection locked="0"/>
    </xf>
    <xf numFmtId="49" fontId="6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 applyProtection="1">
      <alignment horizontal="left" indent="2"/>
      <protection locked="0"/>
    </xf>
    <xf numFmtId="49" fontId="5" fillId="6" borderId="4" xfId="0" applyNumberFormat="1" applyFont="1" applyFill="1" applyBorder="1" applyAlignment="1">
      <alignment horizontal="left"/>
    </xf>
    <xf numFmtId="0" fontId="5" fillId="6" borderId="4" xfId="0" applyFont="1" applyFill="1" applyBorder="1"/>
    <xf numFmtId="165" fontId="5" fillId="6" borderId="4" xfId="0" applyNumberFormat="1" applyFont="1" applyFill="1" applyBorder="1" applyAlignment="1">
      <alignment horizontal="right"/>
    </xf>
    <xf numFmtId="0" fontId="5" fillId="6" borderId="4" xfId="0" applyFont="1" applyFill="1" applyBorder="1" applyAlignment="1">
      <alignment horizontal="right"/>
    </xf>
    <xf numFmtId="0" fontId="5" fillId="6" borderId="4" xfId="0" applyFont="1" applyFill="1" applyBorder="1" applyAlignment="1" applyProtection="1">
      <alignment horizontal="left" indent="2"/>
      <protection locked="0"/>
    </xf>
    <xf numFmtId="165" fontId="5" fillId="6" borderId="4" xfId="0" applyNumberFormat="1" applyFont="1" applyFill="1" applyBorder="1" applyAlignment="1" applyProtection="1">
      <alignment horizontal="left" indent="2"/>
    </xf>
    <xf numFmtId="49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165" fontId="6" fillId="0" borderId="0" xfId="0" applyNumberFormat="1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165" fontId="6" fillId="0" borderId="0" xfId="0" applyNumberFormat="1" applyFont="1" applyFill="1" applyAlignment="1" applyProtection="1">
      <alignment horizontal="right"/>
    </xf>
    <xf numFmtId="49" fontId="5" fillId="6" borderId="4" xfId="0" applyNumberFormat="1" applyFont="1" applyFill="1" applyBorder="1" applyAlignment="1" applyProtection="1">
      <alignment horizontal="left"/>
      <protection locked="0"/>
    </xf>
    <xf numFmtId="0" fontId="5" fillId="6" borderId="4" xfId="0" applyFont="1" applyFill="1" applyBorder="1" applyProtection="1">
      <protection locked="0"/>
    </xf>
    <xf numFmtId="165" fontId="5" fillId="6" borderId="4" xfId="0" applyNumberFormat="1" applyFont="1" applyFill="1" applyBorder="1" applyAlignment="1" applyProtection="1">
      <alignment horizontal="right"/>
      <protection locked="0"/>
    </xf>
    <xf numFmtId="0" fontId="5" fillId="6" borderId="4" xfId="0" applyFont="1" applyFill="1" applyBorder="1" applyAlignment="1" applyProtection="1">
      <alignment horizontal="right"/>
      <protection locked="0"/>
    </xf>
    <xf numFmtId="165" fontId="6" fillId="6" borderId="4" xfId="0" applyNumberFormat="1" applyFont="1" applyFill="1" applyBorder="1" applyAlignment="1" applyProtection="1">
      <alignment horizontal="right"/>
    </xf>
    <xf numFmtId="49" fontId="6" fillId="0" borderId="5" xfId="0" applyNumberFormat="1" applyFont="1" applyFill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 wrapText="1" indent="2"/>
      <protection locked="0"/>
    </xf>
    <xf numFmtId="49" fontId="6" fillId="0" borderId="0" xfId="0" applyNumberFormat="1" applyFont="1" applyFill="1" applyBorder="1" applyAlignment="1" applyProtection="1">
      <alignment horizontal="left"/>
      <protection locked="0"/>
    </xf>
    <xf numFmtId="49" fontId="6" fillId="0" borderId="0" xfId="0" applyNumberFormat="1" applyFont="1" applyFill="1" applyAlignment="1" applyProtection="1">
      <alignment horizontal="left"/>
      <protection locked="0"/>
    </xf>
    <xf numFmtId="0" fontId="6" fillId="0" borderId="0" xfId="0" applyFont="1" applyAlignment="1" applyProtection="1">
      <alignment horizontal="left" indent="2"/>
    </xf>
    <xf numFmtId="0" fontId="6" fillId="6" borderId="4" xfId="0" applyFont="1" applyFill="1" applyBorder="1" applyProtection="1">
      <protection locked="0"/>
    </xf>
    <xf numFmtId="165" fontId="6" fillId="6" borderId="4" xfId="0" applyNumberFormat="1" applyFont="1" applyFill="1" applyBorder="1" applyAlignment="1" applyProtection="1">
      <alignment horizontal="right"/>
      <protection locked="0"/>
    </xf>
    <xf numFmtId="0" fontId="6" fillId="6" borderId="4" xfId="0" applyFont="1" applyFill="1" applyBorder="1" applyAlignment="1" applyProtection="1">
      <alignment horizontal="right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left" indent="2"/>
      <protection locked="0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/>
    <xf numFmtId="165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 indent="2"/>
    </xf>
    <xf numFmtId="49" fontId="10" fillId="0" borderId="0" xfId="0" applyNumberFormat="1" applyFont="1" applyAlignment="1">
      <alignment horizontal="left"/>
    </xf>
    <xf numFmtId="0" fontId="6" fillId="0" borderId="0" xfId="0" applyFont="1" applyAlignment="1">
      <alignment horizontal="left" indent="2"/>
    </xf>
    <xf numFmtId="49" fontId="7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 indent="2"/>
    </xf>
    <xf numFmtId="165" fontId="6" fillId="0" borderId="0" xfId="0" applyNumberFormat="1" applyFont="1" applyFill="1" applyBorder="1" applyAlignment="1">
      <alignment horizontal="left" indent="2"/>
    </xf>
    <xf numFmtId="165" fontId="5" fillId="0" borderId="0" xfId="0" applyNumberFormat="1" applyFont="1" applyFill="1" applyBorder="1" applyAlignment="1">
      <alignment horizontal="left" indent="2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 indent="2"/>
    </xf>
    <xf numFmtId="165" fontId="6" fillId="0" borderId="0" xfId="0" applyNumberFormat="1" applyFont="1" applyAlignment="1" applyProtection="1">
      <alignment horizontal="right"/>
    </xf>
    <xf numFmtId="164" fontId="5" fillId="3" borderId="2" xfId="0" applyNumberFormat="1" applyFont="1" applyFill="1" applyBorder="1" applyAlignment="1" applyProtection="1">
      <alignment horizontal="left" indent="2"/>
    </xf>
    <xf numFmtId="164" fontId="5" fillId="3" borderId="8" xfId="0" applyNumberFormat="1" applyFont="1" applyFill="1" applyBorder="1" applyAlignment="1" applyProtection="1">
      <alignment horizontal="left" vertical="center" indent="2"/>
    </xf>
    <xf numFmtId="3" fontId="8" fillId="0" borderId="0" xfId="0" applyNumberFormat="1" applyFont="1" applyFill="1" applyBorder="1"/>
    <xf numFmtId="164" fontId="5" fillId="0" borderId="0" xfId="0" applyNumberFormat="1" applyFont="1" applyProtection="1">
      <protection locked="0"/>
    </xf>
    <xf numFmtId="164" fontId="6" fillId="0" borderId="0" xfId="0" applyNumberFormat="1" applyFont="1" applyProtection="1">
      <protection locked="0"/>
    </xf>
    <xf numFmtId="164" fontId="5" fillId="5" borderId="0" xfId="0" applyNumberFormat="1" applyFont="1" applyFill="1" applyProtection="1">
      <protection locked="0"/>
    </xf>
    <xf numFmtId="164" fontId="6" fillId="5" borderId="0" xfId="0" applyNumberFormat="1" applyFont="1" applyFill="1" applyProtection="1">
      <protection locked="0"/>
    </xf>
    <xf numFmtId="9" fontId="6" fillId="0" borderId="0" xfId="0" applyNumberFormat="1" applyFont="1" applyProtection="1">
      <protection locked="0"/>
    </xf>
    <xf numFmtId="9" fontId="5" fillId="5" borderId="0" xfId="0" applyNumberFormat="1" applyFont="1" applyFill="1" applyProtection="1">
      <protection locked="0"/>
    </xf>
    <xf numFmtId="9" fontId="6" fillId="5" borderId="0" xfId="0" applyNumberFormat="1" applyFont="1" applyFill="1" applyProtection="1"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49" fontId="5" fillId="5" borderId="0" xfId="0" applyNumberFormat="1" applyFont="1" applyFill="1" applyAlignment="1" applyProtection="1">
      <alignment horizontal="center"/>
      <protection locked="0"/>
    </xf>
    <xf numFmtId="49" fontId="6" fillId="5" borderId="0" xfId="0" applyNumberFormat="1" applyFont="1" applyFill="1" applyAlignment="1" applyProtection="1">
      <alignment horizontal="center"/>
      <protection locked="0"/>
    </xf>
    <xf numFmtId="3" fontId="6" fillId="0" borderId="0" xfId="0" applyNumberFormat="1" applyFont="1" applyProtection="1">
      <protection locked="0"/>
    </xf>
    <xf numFmtId="3" fontId="5" fillId="5" borderId="0" xfId="0" applyNumberFormat="1" applyFont="1" applyFill="1" applyProtection="1">
      <protection locked="0"/>
    </xf>
    <xf numFmtId="3" fontId="6" fillId="5" borderId="0" xfId="0" applyNumberFormat="1" applyFont="1" applyFill="1" applyProtection="1">
      <protection locked="0"/>
    </xf>
    <xf numFmtId="3" fontId="5" fillId="6" borderId="3" xfId="0" applyNumberFormat="1" applyFont="1" applyFill="1" applyBorder="1" applyAlignment="1" applyProtection="1">
      <alignment horizontal="left" vertical="center"/>
      <protection locked="0"/>
    </xf>
    <xf numFmtId="165" fontId="6" fillId="0" borderId="0" xfId="0" applyNumberFormat="1" applyFont="1" applyAlignment="1">
      <alignment horizontal="right"/>
    </xf>
    <xf numFmtId="9" fontId="4" fillId="2" borderId="0" xfId="0" applyNumberFormat="1" applyFont="1" applyFill="1"/>
    <xf numFmtId="49" fontId="4" fillId="2" borderId="0" xfId="0" applyNumberFormat="1" applyFont="1" applyFill="1" applyAlignment="1">
      <alignment horizontal="center"/>
    </xf>
    <xf numFmtId="3" fontId="4" fillId="2" borderId="0" xfId="0" applyNumberFormat="1" applyFont="1" applyFill="1"/>
    <xf numFmtId="0" fontId="13" fillId="2" borderId="0" xfId="0" applyFont="1" applyFill="1"/>
    <xf numFmtId="164" fontId="1" fillId="2" borderId="0" xfId="0" applyNumberFormat="1" applyFont="1" applyFill="1"/>
    <xf numFmtId="0" fontId="12" fillId="5" borderId="0" xfId="0" applyFont="1" applyFill="1"/>
    <xf numFmtId="3" fontId="1" fillId="2" borderId="0" xfId="0" applyNumberFormat="1" applyFont="1" applyFill="1"/>
    <xf numFmtId="3" fontId="3" fillId="2" borderId="0" xfId="0" applyNumberFormat="1" applyFont="1" applyFill="1" applyAlignment="1">
      <alignment horizontal="center" vertical="center"/>
    </xf>
    <xf numFmtId="3" fontId="6" fillId="5" borderId="0" xfId="0" applyNumberFormat="1" applyFont="1" applyFill="1"/>
    <xf numFmtId="3" fontId="5" fillId="0" borderId="0" xfId="0" quotePrefix="1" applyNumberFormat="1" applyFont="1" applyFill="1"/>
    <xf numFmtId="3" fontId="5" fillId="5" borderId="0" xfId="0" quotePrefix="1" applyNumberFormat="1" applyFont="1" applyFill="1"/>
    <xf numFmtId="164" fontId="0" fillId="2" borderId="0" xfId="0" applyNumberFormat="1" applyFill="1"/>
    <xf numFmtId="164" fontId="0" fillId="5" borderId="0" xfId="0" applyNumberFormat="1" applyFill="1"/>
    <xf numFmtId="164" fontId="0" fillId="0" borderId="0" xfId="0" applyNumberFormat="1"/>
    <xf numFmtId="164" fontId="2" fillId="3" borderId="9" xfId="0" applyNumberFormat="1" applyFont="1" applyFill="1" applyBorder="1"/>
    <xf numFmtId="164" fontId="1" fillId="5" borderId="0" xfId="0" applyNumberFormat="1" applyFont="1" applyFill="1"/>
    <xf numFmtId="3" fontId="5" fillId="0" borderId="0" xfId="0" applyNumberFormat="1" applyFont="1" applyProtection="1">
      <protection locked="0"/>
    </xf>
    <xf numFmtId="164" fontId="2" fillId="6" borderId="10" xfId="0" applyNumberFormat="1" applyFont="1" applyFill="1" applyBorder="1"/>
    <xf numFmtId="164" fontId="2" fillId="3" borderId="10" xfId="0" applyNumberFormat="1" applyFont="1" applyFill="1" applyBorder="1"/>
    <xf numFmtId="164" fontId="5" fillId="0" borderId="0" xfId="0" applyNumberFormat="1" applyFont="1" applyAlignment="1">
      <alignment horizontal="right"/>
    </xf>
    <xf numFmtId="0" fontId="11" fillId="0" borderId="0" xfId="0" applyFont="1"/>
    <xf numFmtId="165" fontId="5" fillId="3" borderId="0" xfId="0" quotePrefix="1" applyNumberFormat="1" applyFont="1" applyFill="1"/>
    <xf numFmtId="165" fontId="5" fillId="5" borderId="0" xfId="0" quotePrefix="1" applyNumberFormat="1" applyFont="1" applyFill="1"/>
    <xf numFmtId="0" fontId="13" fillId="2" borderId="0" xfId="0" applyFont="1" applyFill="1" applyAlignment="1"/>
    <xf numFmtId="9" fontId="13" fillId="2" borderId="0" xfId="0" applyNumberFormat="1" applyFont="1" applyFill="1" applyAlignment="1"/>
    <xf numFmtId="164" fontId="2" fillId="3" borderId="10" xfId="0" applyNumberFormat="1" applyFont="1" applyFill="1" applyBorder="1" applyAlignment="1">
      <alignment vertical="center"/>
    </xf>
    <xf numFmtId="164" fontId="2" fillId="3" borderId="0" xfId="0" applyNumberFormat="1" applyFont="1" applyFill="1"/>
    <xf numFmtId="9" fontId="11" fillId="0" borderId="0" xfId="0" applyNumberFormat="1" applyFont="1"/>
    <xf numFmtId="165" fontId="6" fillId="0" borderId="0" xfId="0" applyNumberFormat="1" applyFont="1" applyBorder="1" applyAlignment="1" applyProtection="1">
      <alignment horizontal="right"/>
    </xf>
    <xf numFmtId="9" fontId="6" fillId="0" borderId="0" xfId="0" applyNumberFormat="1" applyFont="1" applyFill="1" applyBorder="1" applyAlignment="1" applyProtection="1">
      <alignment horizontal="left"/>
    </xf>
    <xf numFmtId="49" fontId="13" fillId="2" borderId="0" xfId="0" applyNumberFormat="1" applyFont="1" applyFill="1"/>
    <xf numFmtId="3" fontId="9" fillId="6" borderId="12" xfId="0" applyNumberFormat="1" applyFont="1" applyFill="1" applyBorder="1"/>
    <xf numFmtId="3" fontId="9" fillId="6" borderId="13" xfId="0" applyNumberFormat="1" applyFont="1" applyFill="1" applyBorder="1"/>
    <xf numFmtId="3" fontId="5" fillId="6" borderId="14" xfId="0" applyNumberFormat="1" applyFont="1" applyFill="1" applyBorder="1"/>
    <xf numFmtId="3" fontId="9" fillId="6" borderId="15" xfId="0" applyNumberFormat="1" applyFont="1" applyFill="1" applyBorder="1"/>
    <xf numFmtId="3" fontId="9" fillId="6" borderId="16" xfId="0" applyNumberFormat="1" applyFont="1" applyFill="1" applyBorder="1"/>
    <xf numFmtId="3" fontId="5" fillId="6" borderId="17" xfId="0" applyNumberFormat="1" applyFont="1" applyFill="1" applyBorder="1"/>
    <xf numFmtId="164" fontId="2" fillId="0" borderId="0" xfId="0" applyNumberFormat="1" applyFont="1" applyFill="1" applyBorder="1"/>
    <xf numFmtId="9" fontId="13" fillId="7" borderId="0" xfId="0" applyNumberFormat="1" applyFont="1" applyFill="1" applyAlignment="1"/>
    <xf numFmtId="164" fontId="5" fillId="3" borderId="0" xfId="0" applyNumberFormat="1" applyFont="1" applyFill="1" applyProtection="1"/>
    <xf numFmtId="164" fontId="11" fillId="8" borderId="9" xfId="0" applyNumberFormat="1" applyFont="1" applyFill="1" applyBorder="1"/>
    <xf numFmtId="164" fontId="0" fillId="8" borderId="18" xfId="0" applyNumberFormat="1" applyFill="1" applyBorder="1"/>
    <xf numFmtId="165" fontId="6" fillId="0" borderId="0" xfId="0" applyNumberFormat="1" applyFont="1" applyFill="1" applyBorder="1" applyAlignment="1">
      <alignment horizontal="right"/>
    </xf>
    <xf numFmtId="165" fontId="6" fillId="0" borderId="0" xfId="0" applyNumberFormat="1" applyFont="1" applyAlignment="1">
      <alignment horizontal="right"/>
    </xf>
    <xf numFmtId="164" fontId="2" fillId="0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165" fontId="5" fillId="3" borderId="2" xfId="0" applyNumberFormat="1" applyFont="1" applyFill="1" applyBorder="1" applyAlignment="1" applyProtection="1">
      <alignment horizontal="center"/>
      <protection locked="0"/>
    </xf>
    <xf numFmtId="0" fontId="5" fillId="6" borderId="0" xfId="0" applyFont="1" applyFill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165" fontId="6" fillId="0" borderId="0" xfId="0" applyNumberFormat="1" applyFont="1" applyAlignment="1">
      <alignment horizontal="right"/>
    </xf>
    <xf numFmtId="164" fontId="2" fillId="0" borderId="0" xfId="0" applyNumberFormat="1" applyFont="1" applyFill="1" applyBorder="1" applyAlignment="1">
      <alignment horizontal="center"/>
    </xf>
    <xf numFmtId="164" fontId="2" fillId="0" borderId="11" xfId="0" applyNumberFormat="1" applyFont="1" applyFill="1" applyBorder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167" fontId="0" fillId="0" borderId="0" xfId="1" applyNumberFormat="1" applyFont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89"/>
  <sheetViews>
    <sheetView tabSelected="1" topLeftCell="A58" zoomScale="120" zoomScaleNormal="120" zoomScalePageLayoutView="120" workbookViewId="0">
      <selection activeCell="J16" sqref="J16"/>
    </sheetView>
  </sheetViews>
  <sheetFormatPr defaultColWidth="9.140625" defaultRowHeight="15.75" x14ac:dyDescent="0.3"/>
  <cols>
    <col min="1" max="1" width="14.140625" style="66" customWidth="1"/>
    <col min="2" max="2" width="37.85546875" style="15" customWidth="1"/>
    <col min="3" max="3" width="11.140625" style="67" customWidth="1"/>
    <col min="4" max="4" width="11.140625" style="68" customWidth="1"/>
    <col min="5" max="5" width="11.140625" style="67" customWidth="1"/>
    <col min="6" max="6" width="50.42578125" style="103" customWidth="1"/>
    <col min="8" max="8" width="12.5703125" bestFit="1" customWidth="1"/>
    <col min="9" max="9" width="11" bestFit="1" customWidth="1"/>
    <col min="10" max="10" width="16.85546875" bestFit="1" customWidth="1"/>
  </cols>
  <sheetData>
    <row r="1" spans="1:10" x14ac:dyDescent="0.3">
      <c r="A1" s="58"/>
      <c r="B1" s="59" t="s">
        <v>0</v>
      </c>
      <c r="C1" s="177" t="s">
        <v>1</v>
      </c>
      <c r="D1" s="177"/>
      <c r="E1" s="177"/>
      <c r="F1" s="60"/>
    </row>
    <row r="2" spans="1:10" ht="16.5" thickBot="1" x14ac:dyDescent="0.35">
      <c r="A2" s="61"/>
      <c r="B2" s="62" t="s">
        <v>2</v>
      </c>
      <c r="C2" s="127" t="s">
        <v>3</v>
      </c>
      <c r="D2" s="63"/>
      <c r="E2" s="64"/>
      <c r="F2" s="65"/>
    </row>
    <row r="3" spans="1:10" x14ac:dyDescent="0.3">
      <c r="C3" s="172"/>
      <c r="E3" s="172"/>
      <c r="F3" s="69"/>
    </row>
    <row r="4" spans="1:10" x14ac:dyDescent="0.3">
      <c r="C4" s="172"/>
      <c r="E4" s="172"/>
      <c r="F4" s="69"/>
    </row>
    <row r="5" spans="1:10" ht="16.5" thickBot="1" x14ac:dyDescent="0.35">
      <c r="A5" s="70"/>
      <c r="B5" s="71" t="s">
        <v>4</v>
      </c>
      <c r="C5" s="72" t="s">
        <v>5</v>
      </c>
      <c r="D5" s="73" t="s">
        <v>6</v>
      </c>
      <c r="E5" s="72" t="s">
        <v>7</v>
      </c>
      <c r="F5" s="74" t="s">
        <v>8</v>
      </c>
    </row>
    <row r="6" spans="1:10" ht="16.5" thickTop="1" x14ac:dyDescent="0.3">
      <c r="C6" s="172"/>
      <c r="E6" s="172"/>
      <c r="F6" s="69"/>
    </row>
    <row r="7" spans="1:10" ht="16.5" customHeight="1" thickBot="1" x14ac:dyDescent="0.35">
      <c r="A7" s="70" t="s">
        <v>9</v>
      </c>
      <c r="B7" s="71"/>
      <c r="C7" s="72"/>
      <c r="D7" s="73"/>
      <c r="E7" s="72"/>
      <c r="F7" s="75">
        <f>SUM(E8:E15)</f>
        <v>148820</v>
      </c>
      <c r="H7" s="72" t="s">
        <v>269</v>
      </c>
      <c r="I7" s="72" t="s">
        <v>270</v>
      </c>
      <c r="J7" s="72" t="s">
        <v>271</v>
      </c>
    </row>
    <row r="8" spans="1:10" ht="16.5" thickTop="1" x14ac:dyDescent="0.3">
      <c r="A8" s="76" t="s">
        <v>10</v>
      </c>
      <c r="B8" s="77" t="s">
        <v>11</v>
      </c>
      <c r="C8" s="78">
        <v>8500</v>
      </c>
      <c r="D8" s="79">
        <v>1</v>
      </c>
      <c r="E8" s="80">
        <f>SUM(C8*D8)</f>
        <v>8500</v>
      </c>
      <c r="F8" s="69" t="s">
        <v>12</v>
      </c>
      <c r="H8" s="185">
        <f>420+8190+7687</f>
        <v>16297</v>
      </c>
      <c r="I8" s="185"/>
      <c r="J8" s="186">
        <f>E8-H8-I8</f>
        <v>-7797</v>
      </c>
    </row>
    <row r="9" spans="1:10" x14ac:dyDescent="0.3">
      <c r="A9" s="76" t="s">
        <v>13</v>
      </c>
      <c r="B9" s="77" t="s">
        <v>14</v>
      </c>
      <c r="C9" s="78">
        <v>45000</v>
      </c>
      <c r="D9" s="79">
        <v>1</v>
      </c>
      <c r="E9" s="80">
        <f t="shared" ref="E9:E46" si="0">SUM(C9*D9)</f>
        <v>45000</v>
      </c>
      <c r="F9" s="69" t="s">
        <v>15</v>
      </c>
      <c r="H9" s="185">
        <f>640+640</f>
        <v>1280</v>
      </c>
      <c r="I9" s="185">
        <v>500</v>
      </c>
      <c r="J9" s="186">
        <f t="shared" ref="J9:J72" si="1">E9-H9-I9</f>
        <v>43220</v>
      </c>
    </row>
    <row r="10" spans="1:10" x14ac:dyDescent="0.3">
      <c r="A10" s="76" t="s">
        <v>13</v>
      </c>
      <c r="B10" s="77" t="s">
        <v>16</v>
      </c>
      <c r="C10" s="78">
        <v>550</v>
      </c>
      <c r="D10" s="79">
        <v>1</v>
      </c>
      <c r="E10" s="80">
        <f t="shared" si="0"/>
        <v>550</v>
      </c>
      <c r="F10" s="69" t="s">
        <v>17</v>
      </c>
      <c r="H10" s="185"/>
      <c r="I10" s="185"/>
      <c r="J10" s="186">
        <f t="shared" si="1"/>
        <v>550</v>
      </c>
    </row>
    <row r="11" spans="1:10" x14ac:dyDescent="0.3">
      <c r="A11" s="76" t="s">
        <v>13</v>
      </c>
      <c r="B11" s="77" t="s">
        <v>18</v>
      </c>
      <c r="C11" s="78">
        <v>1500</v>
      </c>
      <c r="D11" s="79">
        <v>1</v>
      </c>
      <c r="E11" s="80">
        <f t="shared" si="0"/>
        <v>1500</v>
      </c>
      <c r="F11" s="69" t="s">
        <v>19</v>
      </c>
      <c r="H11" s="185"/>
      <c r="I11" s="185"/>
      <c r="J11" s="186">
        <f t="shared" si="1"/>
        <v>1500</v>
      </c>
    </row>
    <row r="12" spans="1:10" x14ac:dyDescent="0.3">
      <c r="A12" s="76" t="s">
        <v>20</v>
      </c>
      <c r="B12" s="77" t="s">
        <v>21</v>
      </c>
      <c r="C12" s="110">
        <f>Groundworks!F7</f>
        <v>69800</v>
      </c>
      <c r="D12" s="79">
        <v>1</v>
      </c>
      <c r="E12" s="80">
        <f t="shared" si="0"/>
        <v>69800</v>
      </c>
      <c r="F12" s="69" t="s">
        <v>22</v>
      </c>
      <c r="H12" s="185"/>
      <c r="I12" s="185"/>
      <c r="J12" s="186">
        <f t="shared" si="1"/>
        <v>69800</v>
      </c>
    </row>
    <row r="13" spans="1:10" x14ac:dyDescent="0.3">
      <c r="A13" s="76" t="s">
        <v>13</v>
      </c>
      <c r="B13" s="77" t="s">
        <v>23</v>
      </c>
      <c r="C13" s="78">
        <v>9780</v>
      </c>
      <c r="D13" s="79">
        <v>1</v>
      </c>
      <c r="E13" s="80">
        <f t="shared" si="0"/>
        <v>9780</v>
      </c>
      <c r="F13" s="69" t="s">
        <v>24</v>
      </c>
      <c r="H13" s="185"/>
      <c r="I13" s="185"/>
      <c r="J13" s="186">
        <f t="shared" si="1"/>
        <v>9780</v>
      </c>
    </row>
    <row r="14" spans="1:10" x14ac:dyDescent="0.3">
      <c r="A14" s="76" t="s">
        <v>10</v>
      </c>
      <c r="B14" s="77" t="s">
        <v>25</v>
      </c>
      <c r="C14" s="78">
        <v>8190</v>
      </c>
      <c r="D14" s="79">
        <v>1</v>
      </c>
      <c r="E14" s="80">
        <f t="shared" si="0"/>
        <v>8190</v>
      </c>
      <c r="F14" s="69" t="s">
        <v>26</v>
      </c>
      <c r="H14" s="185"/>
      <c r="I14" s="185"/>
      <c r="J14" s="186">
        <f t="shared" si="1"/>
        <v>8190</v>
      </c>
    </row>
    <row r="15" spans="1:10" x14ac:dyDescent="0.3">
      <c r="A15" s="76" t="s">
        <v>10</v>
      </c>
      <c r="B15" s="77" t="s">
        <v>27</v>
      </c>
      <c r="C15" s="78">
        <v>5500</v>
      </c>
      <c r="D15" s="79">
        <v>1</v>
      </c>
      <c r="E15" s="80">
        <f t="shared" si="0"/>
        <v>5500</v>
      </c>
      <c r="F15" s="69" t="s">
        <v>28</v>
      </c>
      <c r="H15" s="185"/>
      <c r="I15" s="185">
        <v>4000</v>
      </c>
      <c r="J15" s="186">
        <f t="shared" si="1"/>
        <v>1500</v>
      </c>
    </row>
    <row r="16" spans="1:10" ht="16.5" thickBot="1" x14ac:dyDescent="0.35">
      <c r="A16" s="81" t="s">
        <v>29</v>
      </c>
      <c r="B16" s="82"/>
      <c r="C16" s="83"/>
      <c r="D16" s="84"/>
      <c r="E16" s="85"/>
      <c r="F16" s="75">
        <f>SUM(E17:E24)</f>
        <v>568633.57000000007</v>
      </c>
      <c r="H16" s="185"/>
      <c r="I16" s="185"/>
      <c r="J16" s="186"/>
    </row>
    <row r="17" spans="1:10" ht="16.5" thickTop="1" x14ac:dyDescent="0.3">
      <c r="A17" s="86" t="s">
        <v>30</v>
      </c>
      <c r="B17" s="77" t="s">
        <v>31</v>
      </c>
      <c r="C17" s="110">
        <f>Summary!C8</f>
        <v>116760</v>
      </c>
      <c r="D17" s="79">
        <v>1</v>
      </c>
      <c r="E17" s="80">
        <f t="shared" si="0"/>
        <v>116760</v>
      </c>
      <c r="F17" s="87"/>
      <c r="H17" s="185">
        <f>16600+71000</f>
        <v>87600</v>
      </c>
      <c r="I17" s="185">
        <v>767</v>
      </c>
      <c r="J17" s="186">
        <f t="shared" si="1"/>
        <v>28393</v>
      </c>
    </row>
    <row r="18" spans="1:10" x14ac:dyDescent="0.3">
      <c r="A18" s="88" t="s">
        <v>32</v>
      </c>
      <c r="B18" s="77" t="s">
        <v>33</v>
      </c>
      <c r="C18" s="110">
        <f>Summary!C9</f>
        <v>90888</v>
      </c>
      <c r="D18" s="79">
        <v>1</v>
      </c>
      <c r="E18" s="80">
        <f t="shared" si="0"/>
        <v>90888</v>
      </c>
      <c r="F18" s="87"/>
      <c r="H18" s="185"/>
      <c r="I18" s="185">
        <v>41092</v>
      </c>
      <c r="J18" s="186">
        <f t="shared" si="1"/>
        <v>49796</v>
      </c>
    </row>
    <row r="19" spans="1:10" x14ac:dyDescent="0.3">
      <c r="A19" s="88" t="s">
        <v>34</v>
      </c>
      <c r="B19" s="77" t="s">
        <v>35</v>
      </c>
      <c r="C19" s="110">
        <f>Summary!C10</f>
        <v>12814.7</v>
      </c>
      <c r="D19" s="79">
        <v>1</v>
      </c>
      <c r="E19" s="80">
        <f t="shared" si="0"/>
        <v>12814.7</v>
      </c>
      <c r="F19" s="87"/>
      <c r="H19" s="185">
        <v>8282</v>
      </c>
      <c r="I19" s="185"/>
      <c r="J19" s="186">
        <f t="shared" si="1"/>
        <v>4532.7000000000007</v>
      </c>
    </row>
    <row r="20" spans="1:10" x14ac:dyDescent="0.3">
      <c r="A20" s="88" t="s">
        <v>34</v>
      </c>
      <c r="B20" s="77" t="s">
        <v>36</v>
      </c>
      <c r="C20" s="110">
        <f>Summary!C11</f>
        <v>23634.06</v>
      </c>
      <c r="D20" s="79">
        <v>1</v>
      </c>
      <c r="E20" s="80">
        <f t="shared" si="0"/>
        <v>23634.06</v>
      </c>
      <c r="F20" s="87"/>
      <c r="H20" s="185"/>
      <c r="I20" s="185"/>
      <c r="J20" s="186">
        <f t="shared" si="1"/>
        <v>23634.06</v>
      </c>
    </row>
    <row r="21" spans="1:10" x14ac:dyDescent="0.3">
      <c r="A21" s="88" t="s">
        <v>34</v>
      </c>
      <c r="B21" s="77" t="s">
        <v>37</v>
      </c>
      <c r="C21" s="110">
        <f>Summary!C12</f>
        <v>5060</v>
      </c>
      <c r="D21" s="79">
        <v>1</v>
      </c>
      <c r="E21" s="80">
        <f t="shared" si="0"/>
        <v>5060</v>
      </c>
      <c r="F21" s="87"/>
      <c r="H21" s="185"/>
      <c r="I21" s="185"/>
      <c r="J21" s="186">
        <f t="shared" si="1"/>
        <v>5060</v>
      </c>
    </row>
    <row r="22" spans="1:10" x14ac:dyDescent="0.3">
      <c r="A22" s="88" t="s">
        <v>34</v>
      </c>
      <c r="B22" s="77" t="s">
        <v>38</v>
      </c>
      <c r="C22" s="110">
        <f>Summary!C13</f>
        <v>7069.56</v>
      </c>
      <c r="D22" s="79">
        <v>1</v>
      </c>
      <c r="E22" s="80">
        <f t="shared" si="0"/>
        <v>7069.56</v>
      </c>
      <c r="F22" s="87"/>
      <c r="H22" s="185"/>
      <c r="I22" s="185"/>
      <c r="J22" s="186">
        <f t="shared" si="1"/>
        <v>7069.56</v>
      </c>
    </row>
    <row r="23" spans="1:10" x14ac:dyDescent="0.3">
      <c r="A23" s="88" t="s">
        <v>39</v>
      </c>
      <c r="B23" s="77" t="s">
        <v>40</v>
      </c>
      <c r="C23" s="110">
        <f>Summary!C14</f>
        <v>4511</v>
      </c>
      <c r="D23" s="79">
        <v>1</v>
      </c>
      <c r="E23" s="80">
        <f t="shared" si="0"/>
        <v>4511</v>
      </c>
      <c r="F23" s="87"/>
      <c r="H23" s="185"/>
      <c r="I23" s="185"/>
      <c r="J23" s="186">
        <f t="shared" si="1"/>
        <v>4511</v>
      </c>
    </row>
    <row r="24" spans="1:10" x14ac:dyDescent="0.3">
      <c r="A24" s="88" t="s">
        <v>30</v>
      </c>
      <c r="B24" s="77" t="s">
        <v>41</v>
      </c>
      <c r="C24" s="110">
        <f>Summary!C15</f>
        <v>307896.25</v>
      </c>
      <c r="D24" s="79">
        <v>1</v>
      </c>
      <c r="E24" s="80">
        <f t="shared" si="0"/>
        <v>307896.25</v>
      </c>
      <c r="F24" s="69"/>
      <c r="H24" s="185">
        <f>179+1200</f>
        <v>1379</v>
      </c>
      <c r="I24" s="185">
        <f>1238+3739</f>
        <v>4977</v>
      </c>
      <c r="J24" s="186">
        <f t="shared" si="1"/>
        <v>301540.25</v>
      </c>
    </row>
    <row r="25" spans="1:10" ht="16.5" thickBot="1" x14ac:dyDescent="0.35">
      <c r="A25" s="81" t="s">
        <v>42</v>
      </c>
      <c r="B25" s="82"/>
      <c r="C25" s="83"/>
      <c r="D25" s="84"/>
      <c r="E25" s="85"/>
      <c r="F25" s="75">
        <f>SUM(E26:E34)</f>
        <v>34134</v>
      </c>
      <c r="H25" s="185"/>
      <c r="I25" s="185"/>
      <c r="J25" s="186"/>
    </row>
    <row r="26" spans="1:10" ht="16.5" thickTop="1" x14ac:dyDescent="0.3">
      <c r="A26" s="89" t="s">
        <v>43</v>
      </c>
      <c r="B26" s="77" t="s">
        <v>44</v>
      </c>
      <c r="C26" s="78">
        <v>0</v>
      </c>
      <c r="D26" s="79">
        <v>1</v>
      </c>
      <c r="E26" s="80">
        <f t="shared" si="0"/>
        <v>0</v>
      </c>
      <c r="F26" s="69" t="s">
        <v>45</v>
      </c>
      <c r="H26" s="185"/>
      <c r="I26" s="185"/>
      <c r="J26" s="186">
        <f t="shared" si="1"/>
        <v>0</v>
      </c>
    </row>
    <row r="27" spans="1:10" x14ac:dyDescent="0.3">
      <c r="A27" s="89" t="s">
        <v>43</v>
      </c>
      <c r="B27" s="77" t="s">
        <v>46</v>
      </c>
      <c r="C27" s="78">
        <v>500</v>
      </c>
      <c r="D27" s="79">
        <v>4</v>
      </c>
      <c r="E27" s="80">
        <f t="shared" si="0"/>
        <v>2000</v>
      </c>
      <c r="F27" s="69" t="s">
        <v>47</v>
      </c>
      <c r="H27" s="185"/>
      <c r="I27" s="185"/>
      <c r="J27" s="186">
        <f t="shared" si="1"/>
        <v>2000</v>
      </c>
    </row>
    <row r="28" spans="1:10" x14ac:dyDescent="0.3">
      <c r="A28" s="89" t="s">
        <v>43</v>
      </c>
      <c r="B28" s="77" t="s">
        <v>48</v>
      </c>
      <c r="C28" s="78">
        <v>2070</v>
      </c>
      <c r="D28" s="79">
        <v>1</v>
      </c>
      <c r="E28" s="80">
        <f t="shared" si="0"/>
        <v>2070</v>
      </c>
      <c r="F28" s="69" t="s">
        <v>49</v>
      </c>
      <c r="H28" s="185"/>
      <c r="I28" s="185"/>
      <c r="J28" s="186">
        <f t="shared" si="1"/>
        <v>2070</v>
      </c>
    </row>
    <row r="29" spans="1:10" x14ac:dyDescent="0.3">
      <c r="A29" s="89" t="s">
        <v>50</v>
      </c>
      <c r="B29" s="77" t="s">
        <v>51</v>
      </c>
      <c r="C29" s="78">
        <v>19500</v>
      </c>
      <c r="D29" s="79">
        <v>1</v>
      </c>
      <c r="E29" s="80">
        <f t="shared" si="0"/>
        <v>19500</v>
      </c>
      <c r="F29" s="69" t="s">
        <v>52</v>
      </c>
      <c r="H29" s="185"/>
      <c r="I29" s="185">
        <f>690+1380</f>
        <v>2070</v>
      </c>
      <c r="J29" s="186">
        <f t="shared" si="1"/>
        <v>17430</v>
      </c>
    </row>
    <row r="30" spans="1:10" x14ac:dyDescent="0.3">
      <c r="A30" s="89" t="s">
        <v>53</v>
      </c>
      <c r="B30" s="77" t="s">
        <v>54</v>
      </c>
      <c r="C30" s="78">
        <v>2118</v>
      </c>
      <c r="D30" s="79">
        <v>2</v>
      </c>
      <c r="E30" s="80">
        <f t="shared" si="0"/>
        <v>4236</v>
      </c>
      <c r="F30" s="69"/>
      <c r="H30" s="185">
        <v>98</v>
      </c>
      <c r="I30" s="185"/>
      <c r="J30" s="186">
        <f t="shared" si="1"/>
        <v>4138</v>
      </c>
    </row>
    <row r="31" spans="1:10" x14ac:dyDescent="0.3">
      <c r="A31" s="89" t="s">
        <v>55</v>
      </c>
      <c r="B31" s="77" t="s">
        <v>56</v>
      </c>
      <c r="C31" s="78">
        <v>3932</v>
      </c>
      <c r="D31" s="79">
        <v>1</v>
      </c>
      <c r="E31" s="80">
        <f t="shared" si="0"/>
        <v>3932</v>
      </c>
      <c r="F31" s="69"/>
      <c r="H31" s="185"/>
      <c r="I31" s="185"/>
      <c r="J31" s="186">
        <f t="shared" si="1"/>
        <v>3932</v>
      </c>
    </row>
    <row r="32" spans="1:10" x14ac:dyDescent="0.3">
      <c r="A32" s="89" t="s">
        <v>55</v>
      </c>
      <c r="B32" s="77" t="s">
        <v>57</v>
      </c>
      <c r="C32" s="78">
        <v>103</v>
      </c>
      <c r="D32" s="79">
        <v>1</v>
      </c>
      <c r="E32" s="80">
        <f t="shared" si="0"/>
        <v>103</v>
      </c>
      <c r="F32" s="69"/>
      <c r="H32" s="185"/>
      <c r="I32" s="185"/>
      <c r="J32" s="186">
        <f t="shared" si="1"/>
        <v>103</v>
      </c>
    </row>
    <row r="33" spans="1:10" x14ac:dyDescent="0.3">
      <c r="A33" s="89" t="s">
        <v>55</v>
      </c>
      <c r="B33" s="77" t="s">
        <v>58</v>
      </c>
      <c r="C33" s="78">
        <v>1580</v>
      </c>
      <c r="D33" s="79">
        <v>1</v>
      </c>
      <c r="E33" s="80">
        <f t="shared" si="0"/>
        <v>1580</v>
      </c>
      <c r="F33" s="69"/>
      <c r="H33" s="185"/>
      <c r="I33" s="185"/>
      <c r="J33" s="186">
        <f t="shared" si="1"/>
        <v>1580</v>
      </c>
    </row>
    <row r="34" spans="1:10" x14ac:dyDescent="0.3">
      <c r="A34" s="89" t="s">
        <v>55</v>
      </c>
      <c r="B34" s="77" t="s">
        <v>59</v>
      </c>
      <c r="C34" s="78">
        <v>713</v>
      </c>
      <c r="D34" s="79">
        <v>1</v>
      </c>
      <c r="E34" s="80">
        <f t="shared" si="0"/>
        <v>713</v>
      </c>
      <c r="F34" s="69" t="s">
        <v>60</v>
      </c>
      <c r="H34" s="185"/>
      <c r="I34" s="185"/>
      <c r="J34" s="186">
        <f t="shared" si="1"/>
        <v>713</v>
      </c>
    </row>
    <row r="35" spans="1:10" ht="16.5" thickBot="1" x14ac:dyDescent="0.35">
      <c r="A35" s="81" t="s">
        <v>61</v>
      </c>
      <c r="B35" s="82"/>
      <c r="C35" s="83"/>
      <c r="D35" s="84"/>
      <c r="E35" s="85"/>
      <c r="F35" s="75">
        <f>SUM(E36:E37)</f>
        <v>0</v>
      </c>
      <c r="H35" s="185"/>
      <c r="I35" s="185"/>
      <c r="J35" s="186"/>
    </row>
    <row r="36" spans="1:10" ht="16.5" thickTop="1" x14ac:dyDescent="0.3">
      <c r="A36" s="89" t="s">
        <v>62</v>
      </c>
      <c r="B36" s="77" t="s">
        <v>63</v>
      </c>
      <c r="C36" s="78">
        <v>0</v>
      </c>
      <c r="D36" s="79">
        <v>1</v>
      </c>
      <c r="E36" s="80">
        <f t="shared" si="0"/>
        <v>0</v>
      </c>
      <c r="F36" s="90" t="s">
        <v>64</v>
      </c>
      <c r="H36" s="185"/>
      <c r="I36" s="185"/>
      <c r="J36" s="186">
        <f t="shared" si="1"/>
        <v>0</v>
      </c>
    </row>
    <row r="37" spans="1:10" x14ac:dyDescent="0.3">
      <c r="A37" s="89"/>
      <c r="B37" s="77"/>
      <c r="C37" s="78"/>
      <c r="D37" s="79"/>
      <c r="E37" s="80">
        <f t="shared" si="0"/>
        <v>0</v>
      </c>
      <c r="F37" s="69"/>
      <c r="H37" s="185"/>
      <c r="I37" s="185"/>
      <c r="J37" s="186">
        <f t="shared" si="1"/>
        <v>0</v>
      </c>
    </row>
    <row r="38" spans="1:10" ht="16.5" thickBot="1" x14ac:dyDescent="0.35">
      <c r="A38" s="81" t="s">
        <v>65</v>
      </c>
      <c r="B38" s="82"/>
      <c r="C38" s="83"/>
      <c r="D38" s="84"/>
      <c r="E38" s="85"/>
      <c r="F38" s="75">
        <f>SUM(E39:E42)</f>
        <v>79313</v>
      </c>
      <c r="H38" s="185"/>
      <c r="I38" s="185"/>
      <c r="J38" s="186"/>
    </row>
    <row r="39" spans="1:10" ht="16.5" thickTop="1" x14ac:dyDescent="0.3">
      <c r="A39" s="89" t="s">
        <v>66</v>
      </c>
      <c r="B39" s="77" t="s">
        <v>67</v>
      </c>
      <c r="C39" s="78">
        <v>72000</v>
      </c>
      <c r="D39" s="79">
        <v>1</v>
      </c>
      <c r="E39" s="80">
        <f>SUM(C39*D39)</f>
        <v>72000</v>
      </c>
      <c r="F39" s="69" t="s">
        <v>68</v>
      </c>
      <c r="H39" s="185">
        <f>21859+21859</f>
        <v>43718</v>
      </c>
      <c r="I39" s="185"/>
      <c r="J39" s="186">
        <f t="shared" si="1"/>
        <v>28282</v>
      </c>
    </row>
    <row r="40" spans="1:10" x14ac:dyDescent="0.3">
      <c r="A40" s="89" t="s">
        <v>66</v>
      </c>
      <c r="B40" s="77" t="s">
        <v>69</v>
      </c>
      <c r="C40" s="78">
        <v>1650</v>
      </c>
      <c r="D40" s="79">
        <v>1</v>
      </c>
      <c r="E40" s="80">
        <f>SUM(C40*D40)</f>
        <v>1650</v>
      </c>
      <c r="F40" s="69"/>
      <c r="H40" s="185"/>
      <c r="I40" s="185"/>
      <c r="J40" s="186">
        <f t="shared" si="1"/>
        <v>1650</v>
      </c>
    </row>
    <row r="41" spans="1:10" x14ac:dyDescent="0.3">
      <c r="A41" s="89" t="s">
        <v>66</v>
      </c>
      <c r="B41" s="77" t="s">
        <v>70</v>
      </c>
      <c r="C41" s="78">
        <v>663</v>
      </c>
      <c r="D41" s="79">
        <v>1</v>
      </c>
      <c r="E41" s="80">
        <f t="shared" si="0"/>
        <v>663</v>
      </c>
      <c r="F41" s="69"/>
      <c r="H41" s="185"/>
      <c r="I41" s="185"/>
      <c r="J41" s="186">
        <f t="shared" si="1"/>
        <v>663</v>
      </c>
    </row>
    <row r="42" spans="1:10" x14ac:dyDescent="0.3">
      <c r="A42" s="89" t="s">
        <v>66</v>
      </c>
      <c r="B42" s="77" t="s">
        <v>71</v>
      </c>
      <c r="C42" s="78">
        <v>5000</v>
      </c>
      <c r="D42" s="79">
        <v>1</v>
      </c>
      <c r="E42" s="80">
        <f t="shared" si="0"/>
        <v>5000</v>
      </c>
      <c r="F42" s="69"/>
      <c r="H42" s="185"/>
      <c r="I42" s="185"/>
      <c r="J42" s="186">
        <f t="shared" si="1"/>
        <v>5000</v>
      </c>
    </row>
    <row r="43" spans="1:10" ht="16.5" thickBot="1" x14ac:dyDescent="0.35">
      <c r="A43" s="81" t="s">
        <v>72</v>
      </c>
      <c r="B43" s="82"/>
      <c r="C43" s="83"/>
      <c r="D43" s="84"/>
      <c r="E43" s="85"/>
      <c r="F43" s="75">
        <f>SUM(E44:E46)</f>
        <v>26992.5</v>
      </c>
      <c r="H43" s="185"/>
      <c r="I43" s="185"/>
      <c r="J43" s="186"/>
    </row>
    <row r="44" spans="1:10" ht="16.5" thickTop="1" x14ac:dyDescent="0.3">
      <c r="A44" s="89" t="s">
        <v>73</v>
      </c>
      <c r="B44" s="77" t="s">
        <v>74</v>
      </c>
      <c r="C44" s="78">
        <v>26992.5</v>
      </c>
      <c r="D44" s="79">
        <v>1</v>
      </c>
      <c r="E44" s="80">
        <f t="shared" si="0"/>
        <v>26992.5</v>
      </c>
      <c r="F44" s="69" t="s">
        <v>75</v>
      </c>
      <c r="H44" s="185"/>
      <c r="I44" s="185"/>
      <c r="J44" s="186">
        <f t="shared" si="1"/>
        <v>26992.5</v>
      </c>
    </row>
    <row r="45" spans="1:10" x14ac:dyDescent="0.3">
      <c r="A45" s="89"/>
      <c r="B45" s="77"/>
      <c r="C45" s="78"/>
      <c r="D45" s="79"/>
      <c r="E45" s="80">
        <f t="shared" si="0"/>
        <v>0</v>
      </c>
      <c r="F45" s="69"/>
      <c r="H45" s="185"/>
      <c r="I45" s="185"/>
      <c r="J45" s="186">
        <f t="shared" si="1"/>
        <v>0</v>
      </c>
    </row>
    <row r="46" spans="1:10" x14ac:dyDescent="0.3">
      <c r="A46" s="89"/>
      <c r="B46" s="77"/>
      <c r="C46" s="78"/>
      <c r="D46" s="79"/>
      <c r="E46" s="80">
        <f t="shared" si="0"/>
        <v>0</v>
      </c>
      <c r="F46" s="69"/>
      <c r="H46" s="185"/>
      <c r="I46" s="185"/>
      <c r="J46" s="186">
        <f t="shared" si="1"/>
        <v>0</v>
      </c>
    </row>
    <row r="47" spans="1:10" ht="16.5" thickBot="1" x14ac:dyDescent="0.35">
      <c r="A47" s="81" t="s">
        <v>76</v>
      </c>
      <c r="B47" s="91"/>
      <c r="C47" s="92"/>
      <c r="D47" s="93"/>
      <c r="E47" s="85"/>
      <c r="F47" s="75">
        <f>SUM(E48:E49)</f>
        <v>4400</v>
      </c>
      <c r="H47" s="185"/>
      <c r="I47" s="185"/>
      <c r="J47" s="186"/>
    </row>
    <row r="48" spans="1:10" ht="16.5" thickTop="1" x14ac:dyDescent="0.3">
      <c r="A48" s="89" t="s">
        <v>77</v>
      </c>
      <c r="B48" s="77" t="s">
        <v>78</v>
      </c>
      <c r="C48" s="78">
        <v>400</v>
      </c>
      <c r="D48" s="79">
        <v>11</v>
      </c>
      <c r="E48" s="80">
        <f>C48*D48</f>
        <v>4400</v>
      </c>
      <c r="F48" s="69"/>
      <c r="H48" s="185"/>
      <c r="I48" s="185"/>
      <c r="J48" s="186">
        <f t="shared" si="1"/>
        <v>4400</v>
      </c>
    </row>
    <row r="49" spans="1:10" x14ac:dyDescent="0.3">
      <c r="A49" s="89"/>
      <c r="B49" s="77" t="s">
        <v>79</v>
      </c>
      <c r="C49" s="78">
        <v>0</v>
      </c>
      <c r="D49" s="79">
        <v>1</v>
      </c>
      <c r="E49" s="80">
        <f>C49*D49</f>
        <v>0</v>
      </c>
      <c r="F49" s="69"/>
      <c r="H49" s="185"/>
      <c r="I49" s="185"/>
      <c r="J49" s="186">
        <f t="shared" si="1"/>
        <v>0</v>
      </c>
    </row>
    <row r="50" spans="1:10" ht="16.5" thickBot="1" x14ac:dyDescent="0.35">
      <c r="A50" s="81" t="s">
        <v>80</v>
      </c>
      <c r="B50" s="91"/>
      <c r="C50" s="92"/>
      <c r="D50" s="93"/>
      <c r="E50" s="85"/>
      <c r="F50" s="75">
        <f>SUM(E51:E54)</f>
        <v>157000</v>
      </c>
      <c r="H50" s="185"/>
      <c r="I50" s="185"/>
      <c r="J50" s="186"/>
    </row>
    <row r="51" spans="1:10" ht="16.5" thickTop="1" x14ac:dyDescent="0.3">
      <c r="A51" s="89" t="s">
        <v>81</v>
      </c>
      <c r="B51" s="77" t="s">
        <v>82</v>
      </c>
      <c r="C51" s="78">
        <v>1500</v>
      </c>
      <c r="D51" s="79">
        <v>1</v>
      </c>
      <c r="E51" s="80">
        <f>C51*D51</f>
        <v>1500</v>
      </c>
      <c r="F51" s="69" t="s">
        <v>64</v>
      </c>
      <c r="H51" s="185"/>
      <c r="I51" s="185"/>
      <c r="J51" s="186">
        <f t="shared" si="1"/>
        <v>1500</v>
      </c>
    </row>
    <row r="52" spans="1:10" x14ac:dyDescent="0.3">
      <c r="A52" s="89" t="s">
        <v>83</v>
      </c>
      <c r="B52" s="77" t="s">
        <v>84</v>
      </c>
      <c r="C52" s="78">
        <v>5500</v>
      </c>
      <c r="D52" s="79">
        <v>1</v>
      </c>
      <c r="E52" s="80">
        <f t="shared" ref="E52:E54" si="2">C52*D52</f>
        <v>5500</v>
      </c>
      <c r="F52" s="69" t="s">
        <v>64</v>
      </c>
      <c r="H52" s="185">
        <f>1500+1951</f>
        <v>3451</v>
      </c>
      <c r="I52" s="185">
        <v>784</v>
      </c>
      <c r="J52" s="186">
        <f t="shared" si="1"/>
        <v>1265</v>
      </c>
    </row>
    <row r="53" spans="1:10" x14ac:dyDescent="0.3">
      <c r="A53" s="89" t="s">
        <v>85</v>
      </c>
      <c r="B53" s="77" t="s">
        <v>86</v>
      </c>
      <c r="C53" s="78">
        <v>150000</v>
      </c>
      <c r="D53" s="79">
        <v>1</v>
      </c>
      <c r="E53" s="80">
        <f t="shared" si="2"/>
        <v>150000</v>
      </c>
      <c r="F53" s="69"/>
      <c r="H53" s="185">
        <v>25000</v>
      </c>
      <c r="I53" s="185">
        <v>1566</v>
      </c>
      <c r="J53" s="186">
        <f t="shared" si="1"/>
        <v>123434</v>
      </c>
    </row>
    <row r="54" spans="1:10" x14ac:dyDescent="0.3">
      <c r="A54" s="89"/>
      <c r="B54" s="77"/>
      <c r="C54" s="78"/>
      <c r="D54" s="79"/>
      <c r="E54" s="80">
        <f t="shared" si="2"/>
        <v>0</v>
      </c>
      <c r="F54" s="69"/>
      <c r="H54" s="185"/>
      <c r="I54" s="185"/>
      <c r="J54" s="186">
        <f t="shared" si="1"/>
        <v>0</v>
      </c>
    </row>
    <row r="55" spans="1:10" ht="16.5" thickBot="1" x14ac:dyDescent="0.35">
      <c r="A55" s="81" t="s">
        <v>87</v>
      </c>
      <c r="B55" s="91"/>
      <c r="C55" s="92"/>
      <c r="D55" s="93"/>
      <c r="E55" s="85"/>
      <c r="F55" s="75">
        <f>SUM(E56:E58)</f>
        <v>10000</v>
      </c>
      <c r="H55" s="185"/>
      <c r="I55" s="185"/>
      <c r="J55" s="186"/>
    </row>
    <row r="56" spans="1:10" ht="16.5" thickTop="1" x14ac:dyDescent="0.3">
      <c r="A56" s="89" t="s">
        <v>88</v>
      </c>
      <c r="B56" s="77" t="s">
        <v>89</v>
      </c>
      <c r="C56" s="78">
        <v>10000</v>
      </c>
      <c r="D56" s="79">
        <v>1</v>
      </c>
      <c r="E56" s="80">
        <f>C56*D56</f>
        <v>10000</v>
      </c>
      <c r="F56" s="69" t="s">
        <v>90</v>
      </c>
      <c r="H56" s="185">
        <f>6504+1388</f>
        <v>7892</v>
      </c>
      <c r="I56" s="185">
        <f>4545+30</f>
        <v>4575</v>
      </c>
      <c r="J56" s="186">
        <f t="shared" si="1"/>
        <v>-2467</v>
      </c>
    </row>
    <row r="57" spans="1:10" x14ac:dyDescent="0.3">
      <c r="A57" s="89"/>
      <c r="B57" s="77"/>
      <c r="C57" s="78"/>
      <c r="D57" s="79"/>
      <c r="E57" s="80"/>
      <c r="F57" s="69"/>
      <c r="H57" s="185"/>
      <c r="I57" s="185"/>
      <c r="J57" s="186">
        <f t="shared" si="1"/>
        <v>0</v>
      </c>
    </row>
    <row r="58" spans="1:10" x14ac:dyDescent="0.3">
      <c r="A58" s="89"/>
      <c r="B58" s="77"/>
      <c r="C58" s="78"/>
      <c r="D58" s="79"/>
      <c r="E58" s="80">
        <f t="shared" ref="E58" si="3">C58*D58</f>
        <v>0</v>
      </c>
      <c r="F58" s="69"/>
      <c r="H58" s="185"/>
      <c r="I58" s="185"/>
      <c r="J58" s="186">
        <f t="shared" si="1"/>
        <v>0</v>
      </c>
    </row>
    <row r="59" spans="1:10" ht="16.5" thickBot="1" x14ac:dyDescent="0.35">
      <c r="A59" s="81" t="s">
        <v>91</v>
      </c>
      <c r="B59" s="91"/>
      <c r="C59" s="92"/>
      <c r="D59" s="93"/>
      <c r="E59" s="85"/>
      <c r="F59" s="75">
        <f>SUM(E60:E61)</f>
        <v>10000</v>
      </c>
      <c r="H59" s="185"/>
      <c r="I59" s="185"/>
      <c r="J59" s="186"/>
    </row>
    <row r="60" spans="1:10" ht="16.5" thickTop="1" x14ac:dyDescent="0.3">
      <c r="A60" s="89" t="s">
        <v>92</v>
      </c>
      <c r="B60" s="77" t="s">
        <v>93</v>
      </c>
      <c r="C60" s="78">
        <v>10000</v>
      </c>
      <c r="D60" s="79">
        <v>1</v>
      </c>
      <c r="E60" s="80">
        <f>C60*D60</f>
        <v>10000</v>
      </c>
      <c r="F60" s="69"/>
      <c r="H60" s="185"/>
      <c r="I60" s="185">
        <v>2444</v>
      </c>
      <c r="J60" s="186">
        <f t="shared" si="1"/>
        <v>7556</v>
      </c>
    </row>
    <row r="61" spans="1:10" x14ac:dyDescent="0.3">
      <c r="A61" s="89"/>
      <c r="B61" s="77"/>
      <c r="C61" s="78"/>
      <c r="D61" s="79"/>
      <c r="E61" s="80"/>
      <c r="F61" s="69"/>
      <c r="H61" s="185"/>
      <c r="I61" s="185"/>
      <c r="J61" s="186">
        <f t="shared" si="1"/>
        <v>0</v>
      </c>
    </row>
    <row r="62" spans="1:10" ht="16.5" thickBot="1" x14ac:dyDescent="0.35">
      <c r="A62" s="81" t="s">
        <v>94</v>
      </c>
      <c r="B62" s="91"/>
      <c r="C62" s="92"/>
      <c r="D62" s="93"/>
      <c r="E62" s="85"/>
      <c r="F62" s="75">
        <f>SUM(E63:E64)</f>
        <v>0</v>
      </c>
      <c r="H62" s="185"/>
      <c r="I62" s="185"/>
      <c r="J62" s="186"/>
    </row>
    <row r="63" spans="1:10" ht="16.5" thickTop="1" x14ac:dyDescent="0.3">
      <c r="A63" s="89" t="s">
        <v>95</v>
      </c>
      <c r="B63" s="77" t="s">
        <v>96</v>
      </c>
      <c r="C63" s="78">
        <v>0</v>
      </c>
      <c r="D63" s="79">
        <v>1</v>
      </c>
      <c r="E63" s="80">
        <f>C63*D63</f>
        <v>0</v>
      </c>
      <c r="F63" s="69"/>
      <c r="H63" s="185"/>
      <c r="I63" s="185"/>
      <c r="J63" s="186">
        <f t="shared" si="1"/>
        <v>0</v>
      </c>
    </row>
    <row r="64" spans="1:10" x14ac:dyDescent="0.3">
      <c r="A64" s="89"/>
      <c r="B64" s="77"/>
      <c r="C64" s="78"/>
      <c r="D64" s="79"/>
      <c r="E64" s="80"/>
      <c r="F64" s="69"/>
      <c r="H64" s="185"/>
      <c r="I64" s="185"/>
      <c r="J64" s="186">
        <f t="shared" si="1"/>
        <v>0</v>
      </c>
    </row>
    <row r="65" spans="1:10" ht="16.5" thickBot="1" x14ac:dyDescent="0.35">
      <c r="A65" s="81" t="s">
        <v>97</v>
      </c>
      <c r="B65" s="91"/>
      <c r="C65" s="92"/>
      <c r="D65" s="93"/>
      <c r="E65" s="85"/>
      <c r="F65" s="75">
        <f>SUM(E66:E70)</f>
        <v>3000</v>
      </c>
      <c r="H65" s="185"/>
      <c r="I65" s="185"/>
      <c r="J65" s="186"/>
    </row>
    <row r="66" spans="1:10" ht="16.5" thickTop="1" x14ac:dyDescent="0.3">
      <c r="A66" s="89" t="s">
        <v>98</v>
      </c>
      <c r="B66" s="77" t="s">
        <v>99</v>
      </c>
      <c r="C66" s="78">
        <v>3000</v>
      </c>
      <c r="D66" s="79">
        <v>1</v>
      </c>
      <c r="E66" s="80">
        <f>C66*D66</f>
        <v>3000</v>
      </c>
      <c r="F66" s="69"/>
      <c r="H66" s="185">
        <v>1472</v>
      </c>
      <c r="I66" s="185"/>
      <c r="J66" s="186">
        <f t="shared" si="1"/>
        <v>1528</v>
      </c>
    </row>
    <row r="67" spans="1:10" x14ac:dyDescent="0.3">
      <c r="A67" s="89"/>
      <c r="B67" s="77"/>
      <c r="C67" s="78"/>
      <c r="D67" s="79"/>
      <c r="E67" s="80"/>
      <c r="F67" s="69"/>
      <c r="H67" s="185"/>
      <c r="I67" s="185"/>
      <c r="J67" s="186">
        <f t="shared" si="1"/>
        <v>0</v>
      </c>
    </row>
    <row r="68" spans="1:10" ht="16.5" thickBot="1" x14ac:dyDescent="0.35">
      <c r="A68" s="89"/>
      <c r="B68" s="77"/>
      <c r="C68" s="176" t="s">
        <v>100</v>
      </c>
      <c r="D68" s="176"/>
      <c r="E68" s="176"/>
      <c r="F68" s="111">
        <f>SUM(F6:F67)</f>
        <v>1042293.0700000001</v>
      </c>
      <c r="H68" s="75">
        <f>SUM(H4:H67)</f>
        <v>196469</v>
      </c>
      <c r="I68" s="75">
        <f>SUM(I4:I67)</f>
        <v>62775</v>
      </c>
      <c r="J68" s="75">
        <f>F68-H68-I68</f>
        <v>783049.07000000007</v>
      </c>
    </row>
    <row r="69" spans="1:10" x14ac:dyDescent="0.3">
      <c r="A69" s="89"/>
      <c r="B69" s="77"/>
      <c r="C69" s="78"/>
      <c r="D69" s="79"/>
      <c r="E69" s="80"/>
      <c r="F69" s="69"/>
      <c r="H69" s="185"/>
      <c r="I69" s="185"/>
      <c r="J69" s="186"/>
    </row>
    <row r="70" spans="1:10" x14ac:dyDescent="0.3">
      <c r="A70" s="89"/>
      <c r="B70" s="77"/>
      <c r="C70" s="78"/>
      <c r="D70" s="79"/>
      <c r="E70" s="80"/>
      <c r="F70" s="69"/>
      <c r="H70" s="185"/>
      <c r="I70" s="185"/>
      <c r="J70" s="186"/>
    </row>
    <row r="71" spans="1:10" x14ac:dyDescent="0.3">
      <c r="A71" s="89"/>
      <c r="B71" s="77"/>
      <c r="C71" s="78"/>
      <c r="D71" s="79"/>
      <c r="E71" s="80"/>
      <c r="F71" s="69"/>
      <c r="H71" s="185"/>
      <c r="I71" s="185"/>
      <c r="J71" s="186"/>
    </row>
    <row r="72" spans="1:10" ht="16.5" thickBot="1" x14ac:dyDescent="0.35">
      <c r="A72" s="81" t="s">
        <v>101</v>
      </c>
      <c r="B72" s="91"/>
      <c r="C72" s="92"/>
      <c r="D72" s="93"/>
      <c r="E72" s="85"/>
      <c r="F72" s="75">
        <f>SUM(E73:E77)</f>
        <v>952737.20999999985</v>
      </c>
      <c r="H72" s="185"/>
      <c r="I72" s="185"/>
      <c r="J72" s="186"/>
    </row>
    <row r="73" spans="1:10" ht="16.5" thickTop="1" x14ac:dyDescent="0.3">
      <c r="A73" s="89"/>
      <c r="B73" s="77" t="s">
        <v>102</v>
      </c>
      <c r="C73" s="78">
        <v>250000</v>
      </c>
      <c r="D73" s="79">
        <v>1</v>
      </c>
      <c r="E73" s="80">
        <f>C73*D73</f>
        <v>250000</v>
      </c>
      <c r="F73" s="69"/>
    </row>
    <row r="74" spans="1:10" x14ac:dyDescent="0.3">
      <c r="A74" s="89"/>
      <c r="B74" s="77" t="s">
        <v>103</v>
      </c>
      <c r="C74" s="78">
        <v>125000</v>
      </c>
      <c r="D74" s="79">
        <v>1</v>
      </c>
      <c r="E74" s="80">
        <f t="shared" ref="E74:E76" si="4">C74*D74</f>
        <v>125000</v>
      </c>
      <c r="F74" s="69"/>
    </row>
    <row r="75" spans="1:10" x14ac:dyDescent="0.3">
      <c r="A75" s="89"/>
      <c r="B75" s="77" t="s">
        <v>104</v>
      </c>
      <c r="C75" s="110">
        <f>Income!O21</f>
        <v>577737.20999999985</v>
      </c>
      <c r="D75" s="79">
        <v>1</v>
      </c>
      <c r="E75" s="80">
        <f t="shared" si="4"/>
        <v>577737.20999999985</v>
      </c>
      <c r="F75" s="69"/>
    </row>
    <row r="76" spans="1:10" x14ac:dyDescent="0.3">
      <c r="A76" s="158" t="str">
        <f>Income!C24</f>
        <v>Bus :</v>
      </c>
      <c r="B76" s="94" t="s">
        <v>105</v>
      </c>
      <c r="C76" s="157"/>
      <c r="D76" s="95">
        <v>1</v>
      </c>
      <c r="E76" s="80">
        <f t="shared" si="4"/>
        <v>0</v>
      </c>
      <c r="F76" s="96"/>
    </row>
    <row r="77" spans="1:10" ht="16.5" thickBot="1" x14ac:dyDescent="0.35">
      <c r="A77" s="97"/>
      <c r="B77" s="98"/>
      <c r="C77" s="99"/>
      <c r="D77" s="100"/>
      <c r="E77" s="99"/>
      <c r="F77" s="101"/>
    </row>
    <row r="78" spans="1:10" ht="23.25" customHeight="1" thickBot="1" x14ac:dyDescent="0.35">
      <c r="C78" s="172"/>
      <c r="D78" s="178" t="s">
        <v>106</v>
      </c>
      <c r="E78" s="179"/>
      <c r="F78" s="112">
        <f>F72-F68</f>
        <v>-89555.860000000219</v>
      </c>
    </row>
    <row r="79" spans="1:10" ht="16.5" x14ac:dyDescent="0.35">
      <c r="A79" s="102" t="s">
        <v>107</v>
      </c>
      <c r="B79" s="38"/>
      <c r="C79" s="172"/>
      <c r="E79" s="172"/>
    </row>
    <row r="80" spans="1:10" ht="16.5" x14ac:dyDescent="0.35">
      <c r="A80" s="104" t="s">
        <v>108</v>
      </c>
      <c r="B80" s="38" t="s">
        <v>109</v>
      </c>
      <c r="C80" s="180"/>
      <c r="D80" s="180"/>
      <c r="E80" s="180"/>
      <c r="F80" s="105"/>
    </row>
    <row r="81" spans="1:6" ht="16.5" x14ac:dyDescent="0.35">
      <c r="A81" s="104" t="s">
        <v>110</v>
      </c>
      <c r="B81" s="38" t="s">
        <v>111</v>
      </c>
      <c r="C81" s="174"/>
      <c r="D81" s="174"/>
      <c r="E81" s="174"/>
      <c r="F81" s="106"/>
    </row>
    <row r="82" spans="1:6" ht="16.5" x14ac:dyDescent="0.35">
      <c r="A82" s="104" t="s">
        <v>112</v>
      </c>
      <c r="B82" s="38" t="s">
        <v>113</v>
      </c>
      <c r="C82" s="174"/>
      <c r="D82" s="174"/>
      <c r="E82" s="174"/>
      <c r="F82" s="106"/>
    </row>
    <row r="83" spans="1:6" ht="16.5" x14ac:dyDescent="0.35">
      <c r="A83" s="104" t="s">
        <v>114</v>
      </c>
      <c r="B83" s="38" t="s">
        <v>115</v>
      </c>
      <c r="C83" s="175"/>
      <c r="D83" s="175"/>
      <c r="E83" s="175"/>
      <c r="F83" s="107"/>
    </row>
    <row r="84" spans="1:6" ht="16.5" x14ac:dyDescent="0.35">
      <c r="A84" s="104" t="s">
        <v>116</v>
      </c>
      <c r="B84" s="38" t="s">
        <v>117</v>
      </c>
      <c r="C84" s="171"/>
      <c r="D84" s="108"/>
      <c r="E84" s="171"/>
      <c r="F84" s="106"/>
    </row>
    <row r="85" spans="1:6" x14ac:dyDescent="0.3">
      <c r="C85" s="174"/>
      <c r="D85" s="174"/>
      <c r="E85" s="174"/>
      <c r="F85" s="106"/>
    </row>
    <row r="86" spans="1:6" x14ac:dyDescent="0.3">
      <c r="C86" s="171"/>
      <c r="D86" s="108"/>
      <c r="E86" s="171"/>
      <c r="F86" s="109"/>
    </row>
    <row r="87" spans="1:6" x14ac:dyDescent="0.3">
      <c r="C87" s="171"/>
      <c r="D87" s="175"/>
      <c r="E87" s="175"/>
      <c r="F87" s="107"/>
    </row>
    <row r="88" spans="1:6" x14ac:dyDescent="0.3">
      <c r="C88" s="171"/>
      <c r="D88" s="108"/>
      <c r="E88" s="171"/>
      <c r="F88" s="109"/>
    </row>
    <row r="89" spans="1:6" x14ac:dyDescent="0.3">
      <c r="C89" s="171"/>
      <c r="D89" s="108"/>
      <c r="E89" s="171"/>
      <c r="F89" s="109"/>
    </row>
  </sheetData>
  <sheetProtection selectLockedCells="1"/>
  <mergeCells count="9">
    <mergeCell ref="C85:E85"/>
    <mergeCell ref="D87:E87"/>
    <mergeCell ref="C68:E68"/>
    <mergeCell ref="C1:E1"/>
    <mergeCell ref="D78:E78"/>
    <mergeCell ref="C80:E80"/>
    <mergeCell ref="C81:E81"/>
    <mergeCell ref="C82:E82"/>
    <mergeCell ref="C83:E83"/>
  </mergeCells>
  <pageMargins left="0.7" right="0.7" top="0.75" bottom="0.75" header="0.3" footer="0.3"/>
  <pageSetup paperSize="8" scale="70" orientation="portrait" r:id="rId1"/>
  <headerFooter>
    <oddHeader>&amp;L&amp;"Trebuchet MS,Bold"Hull 2017 Draft Budget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21"/>
  <sheetViews>
    <sheetView workbookViewId="0">
      <selection activeCell="H16" sqref="H16"/>
    </sheetView>
  </sheetViews>
  <sheetFormatPr defaultColWidth="8.85546875" defaultRowHeight="15.7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 x14ac:dyDescent="0.3">
      <c r="A1" s="6" t="s">
        <v>237</v>
      </c>
      <c r="B1" s="10"/>
      <c r="C1" s="7"/>
      <c r="D1" s="7"/>
      <c r="E1" s="5"/>
    </row>
    <row r="2" spans="1:5" ht="16.5" x14ac:dyDescent="0.3">
      <c r="A2" s="1"/>
      <c r="B2" s="4"/>
      <c r="C2" s="9"/>
      <c r="D2" s="9"/>
      <c r="E2" s="4"/>
    </row>
    <row r="3" spans="1:5" ht="22.5" customHeight="1" x14ac:dyDescent="0.25">
      <c r="A3" s="2" t="s">
        <v>4</v>
      </c>
      <c r="B3" s="11" t="s">
        <v>183</v>
      </c>
      <c r="C3" s="8" t="s">
        <v>6</v>
      </c>
      <c r="D3" s="8" t="s">
        <v>184</v>
      </c>
      <c r="E3" s="3" t="s">
        <v>185</v>
      </c>
    </row>
    <row r="4" spans="1:5" x14ac:dyDescent="0.3">
      <c r="A4" s="17" t="s">
        <v>206</v>
      </c>
      <c r="B4" s="18"/>
      <c r="C4" s="19"/>
      <c r="D4" s="19"/>
      <c r="E4" s="20"/>
    </row>
    <row r="5" spans="1:5" x14ac:dyDescent="0.3">
      <c r="A5" s="15" t="s">
        <v>207</v>
      </c>
      <c r="E5" s="14">
        <f>B5*C5*D5</f>
        <v>0</v>
      </c>
    </row>
    <row r="6" spans="1:5" x14ac:dyDescent="0.3">
      <c r="A6" s="15" t="s">
        <v>208</v>
      </c>
      <c r="E6" s="14">
        <f t="shared" ref="E6:E19" si="0">B6*C6*D6</f>
        <v>0</v>
      </c>
    </row>
    <row r="7" spans="1:5" x14ac:dyDescent="0.3">
      <c r="A7" s="17" t="s">
        <v>209</v>
      </c>
      <c r="B7" s="20"/>
      <c r="C7" s="21"/>
      <c r="D7" s="21"/>
      <c r="E7" s="20"/>
    </row>
    <row r="8" spans="1:5" x14ac:dyDescent="0.3">
      <c r="A8" s="15" t="s">
        <v>210</v>
      </c>
      <c r="E8" s="14">
        <f t="shared" si="0"/>
        <v>0</v>
      </c>
    </row>
    <row r="9" spans="1:5" x14ac:dyDescent="0.3">
      <c r="A9" s="15" t="s">
        <v>211</v>
      </c>
      <c r="E9" s="14">
        <f t="shared" si="0"/>
        <v>0</v>
      </c>
    </row>
    <row r="10" spans="1:5" x14ac:dyDescent="0.3">
      <c r="A10" s="15" t="s">
        <v>212</v>
      </c>
      <c r="E10" s="14">
        <f t="shared" si="0"/>
        <v>0</v>
      </c>
    </row>
    <row r="11" spans="1:5" x14ac:dyDescent="0.3">
      <c r="A11" s="15" t="s">
        <v>213</v>
      </c>
      <c r="B11" s="14">
        <v>2837</v>
      </c>
      <c r="C11" s="16">
        <v>1</v>
      </c>
      <c r="D11" s="16">
        <v>1</v>
      </c>
      <c r="E11" s="14">
        <f t="shared" si="0"/>
        <v>2837</v>
      </c>
    </row>
    <row r="12" spans="1:5" x14ac:dyDescent="0.3">
      <c r="A12" s="17" t="s">
        <v>200</v>
      </c>
      <c r="B12" s="20"/>
      <c r="C12" s="21"/>
      <c r="D12" s="21"/>
      <c r="E12" s="20"/>
    </row>
    <row r="13" spans="1:5" x14ac:dyDescent="0.3">
      <c r="A13" s="15" t="s">
        <v>215</v>
      </c>
      <c r="E13" s="14">
        <f t="shared" si="0"/>
        <v>0</v>
      </c>
    </row>
    <row r="14" spans="1:5" x14ac:dyDescent="0.3">
      <c r="A14" s="15" t="s">
        <v>216</v>
      </c>
      <c r="B14" s="14">
        <v>399</v>
      </c>
      <c r="C14" s="16">
        <v>1</v>
      </c>
      <c r="D14" s="16">
        <v>1</v>
      </c>
      <c r="E14" s="14">
        <f t="shared" si="0"/>
        <v>399</v>
      </c>
    </row>
    <row r="15" spans="1:5" x14ac:dyDescent="0.3">
      <c r="A15" s="15" t="s">
        <v>229</v>
      </c>
      <c r="B15" s="14">
        <v>800</v>
      </c>
      <c r="C15" s="16">
        <v>1</v>
      </c>
      <c r="D15" s="16">
        <v>1</v>
      </c>
      <c r="E15" s="14">
        <f t="shared" si="0"/>
        <v>800</v>
      </c>
    </row>
    <row r="16" spans="1:5" x14ac:dyDescent="0.3">
      <c r="A16" s="15" t="s">
        <v>220</v>
      </c>
      <c r="B16" s="14">
        <v>330</v>
      </c>
      <c r="C16" s="16">
        <v>1</v>
      </c>
      <c r="D16" s="16">
        <v>1</v>
      </c>
      <c r="E16" s="14">
        <f t="shared" si="0"/>
        <v>330</v>
      </c>
    </row>
    <row r="17" spans="1:5" x14ac:dyDescent="0.3">
      <c r="A17" s="15" t="s">
        <v>221</v>
      </c>
      <c r="B17" s="14">
        <v>490</v>
      </c>
      <c r="C17" s="16">
        <v>1</v>
      </c>
      <c r="D17" s="16">
        <v>1</v>
      </c>
      <c r="E17" s="14">
        <f t="shared" si="0"/>
        <v>490</v>
      </c>
    </row>
    <row r="18" spans="1:5" x14ac:dyDescent="0.3">
      <c r="A18" s="15" t="s">
        <v>238</v>
      </c>
      <c r="B18" s="14">
        <v>204</v>
      </c>
      <c r="C18" s="16">
        <v>1</v>
      </c>
      <c r="D18" s="16">
        <v>1</v>
      </c>
      <c r="E18" s="14">
        <f t="shared" si="0"/>
        <v>204</v>
      </c>
    </row>
    <row r="19" spans="1:5" x14ac:dyDescent="0.3">
      <c r="A19" s="15" t="s">
        <v>239</v>
      </c>
      <c r="E19" s="14">
        <f t="shared" si="0"/>
        <v>0</v>
      </c>
    </row>
    <row r="21" spans="1:5" ht="16.5" x14ac:dyDescent="0.3">
      <c r="D21" s="23" t="s">
        <v>198</v>
      </c>
      <c r="E21" s="24">
        <f>SUM(E5:E20)</f>
        <v>5060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23"/>
  <sheetViews>
    <sheetView workbookViewId="0">
      <selection activeCell="G19" sqref="G19"/>
    </sheetView>
  </sheetViews>
  <sheetFormatPr defaultColWidth="8.85546875" defaultRowHeight="15.7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 x14ac:dyDescent="0.3">
      <c r="A1" s="6" t="s">
        <v>240</v>
      </c>
      <c r="B1" s="10"/>
      <c r="C1" s="7"/>
      <c r="D1" s="7"/>
      <c r="E1" s="5"/>
    </row>
    <row r="2" spans="1:5" ht="16.5" x14ac:dyDescent="0.3">
      <c r="A2" s="1"/>
      <c r="B2" s="4"/>
      <c r="C2" s="9"/>
      <c r="D2" s="9"/>
      <c r="E2" s="4"/>
    </row>
    <row r="3" spans="1:5" ht="22.5" customHeight="1" x14ac:dyDescent="0.25">
      <c r="A3" s="2" t="s">
        <v>4</v>
      </c>
      <c r="B3" s="11" t="s">
        <v>183</v>
      </c>
      <c r="C3" s="8" t="s">
        <v>6</v>
      </c>
      <c r="D3" s="8" t="s">
        <v>184</v>
      </c>
      <c r="E3" s="3" t="s">
        <v>185</v>
      </c>
    </row>
    <row r="4" spans="1:5" x14ac:dyDescent="0.3">
      <c r="A4" s="17" t="s">
        <v>206</v>
      </c>
      <c r="B4" s="18"/>
      <c r="C4" s="19"/>
      <c r="D4" s="19"/>
      <c r="E4" s="20"/>
    </row>
    <row r="5" spans="1:5" x14ac:dyDescent="0.3">
      <c r="A5" s="15" t="s">
        <v>207</v>
      </c>
      <c r="E5" s="14">
        <f>B5*C5*D5</f>
        <v>0</v>
      </c>
    </row>
    <row r="6" spans="1:5" x14ac:dyDescent="0.3">
      <c r="A6" s="15" t="s">
        <v>208</v>
      </c>
      <c r="E6" s="14">
        <f t="shared" ref="E6:E21" si="0">B6*C6*D6</f>
        <v>0</v>
      </c>
    </row>
    <row r="7" spans="1:5" x14ac:dyDescent="0.3">
      <c r="A7" s="17" t="s">
        <v>209</v>
      </c>
      <c r="B7" s="20"/>
      <c r="C7" s="21"/>
      <c r="D7" s="21"/>
      <c r="E7" s="20"/>
    </row>
    <row r="8" spans="1:5" x14ac:dyDescent="0.3">
      <c r="A8" s="15" t="s">
        <v>212</v>
      </c>
      <c r="E8" s="14">
        <f t="shared" si="0"/>
        <v>0</v>
      </c>
    </row>
    <row r="9" spans="1:5" x14ac:dyDescent="0.3">
      <c r="A9" s="15" t="s">
        <v>213</v>
      </c>
      <c r="B9" s="14">
        <v>3578</v>
      </c>
      <c r="C9" s="16">
        <v>1</v>
      </c>
      <c r="D9" s="16">
        <v>1</v>
      </c>
      <c r="E9" s="14">
        <f t="shared" si="0"/>
        <v>3578</v>
      </c>
    </row>
    <row r="10" spans="1:5" x14ac:dyDescent="0.3">
      <c r="A10" s="15" t="s">
        <v>228</v>
      </c>
      <c r="B10" s="14">
        <v>204</v>
      </c>
      <c r="C10" s="16">
        <v>1</v>
      </c>
      <c r="D10" s="16">
        <v>1</v>
      </c>
      <c r="E10" s="14">
        <f t="shared" si="0"/>
        <v>204</v>
      </c>
    </row>
    <row r="11" spans="1:5" x14ac:dyDescent="0.3">
      <c r="A11" s="17" t="s">
        <v>200</v>
      </c>
      <c r="B11" s="20"/>
      <c r="C11" s="21"/>
      <c r="D11" s="21"/>
      <c r="E11" s="20"/>
    </row>
    <row r="12" spans="1:5" x14ac:dyDescent="0.3">
      <c r="A12" s="15" t="s">
        <v>215</v>
      </c>
      <c r="B12" s="14">
        <v>700</v>
      </c>
      <c r="C12" s="16">
        <v>1</v>
      </c>
      <c r="D12" s="16">
        <v>1</v>
      </c>
      <c r="E12" s="14">
        <f t="shared" si="0"/>
        <v>700</v>
      </c>
    </row>
    <row r="13" spans="1:5" x14ac:dyDescent="0.3">
      <c r="A13" s="15" t="s">
        <v>216</v>
      </c>
      <c r="E13" s="14">
        <f t="shared" si="0"/>
        <v>0</v>
      </c>
    </row>
    <row r="14" spans="1:5" x14ac:dyDescent="0.3">
      <c r="A14" s="15" t="s">
        <v>219</v>
      </c>
      <c r="B14" s="14">
        <v>800</v>
      </c>
      <c r="C14" s="16">
        <v>1</v>
      </c>
      <c r="D14" s="16">
        <v>1</v>
      </c>
      <c r="E14" s="14">
        <f t="shared" si="0"/>
        <v>800</v>
      </c>
    </row>
    <row r="15" spans="1:5" x14ac:dyDescent="0.3">
      <c r="A15" s="15" t="s">
        <v>223</v>
      </c>
      <c r="E15" s="14">
        <f t="shared" si="0"/>
        <v>0</v>
      </c>
    </row>
    <row r="16" spans="1:5" x14ac:dyDescent="0.3">
      <c r="A16" s="15" t="s">
        <v>221</v>
      </c>
      <c r="B16" s="14">
        <v>565</v>
      </c>
      <c r="C16" s="16">
        <v>1</v>
      </c>
      <c r="D16" s="16">
        <v>1</v>
      </c>
      <c r="E16" s="14">
        <f t="shared" si="0"/>
        <v>565</v>
      </c>
    </row>
    <row r="17" spans="1:5" x14ac:dyDescent="0.3">
      <c r="A17" s="15" t="s">
        <v>229</v>
      </c>
      <c r="B17" s="14">
        <v>326.56</v>
      </c>
      <c r="C17" s="16">
        <v>1</v>
      </c>
      <c r="D17" s="16">
        <v>1</v>
      </c>
      <c r="E17" s="14">
        <f t="shared" si="0"/>
        <v>326.56</v>
      </c>
    </row>
    <row r="18" spans="1:5" x14ac:dyDescent="0.3">
      <c r="A18" s="15" t="s">
        <v>220</v>
      </c>
      <c r="B18" s="14">
        <v>132</v>
      </c>
      <c r="C18" s="16">
        <v>1</v>
      </c>
      <c r="D18" s="16">
        <v>1</v>
      </c>
      <c r="E18" s="14">
        <f t="shared" si="0"/>
        <v>132</v>
      </c>
    </row>
    <row r="19" spans="1:5" x14ac:dyDescent="0.3">
      <c r="A19" s="15" t="s">
        <v>230</v>
      </c>
      <c r="B19" s="14">
        <v>764</v>
      </c>
      <c r="C19" s="16">
        <v>1</v>
      </c>
      <c r="D19" s="16">
        <v>1</v>
      </c>
      <c r="E19" s="14">
        <f t="shared" si="0"/>
        <v>764</v>
      </c>
    </row>
    <row r="20" spans="1:5" x14ac:dyDescent="0.3">
      <c r="A20" s="15" t="s">
        <v>241</v>
      </c>
      <c r="E20" s="14">
        <f t="shared" si="0"/>
        <v>0</v>
      </c>
    </row>
    <row r="21" spans="1:5" x14ac:dyDescent="0.3">
      <c r="A21" s="15" t="s">
        <v>239</v>
      </c>
      <c r="E21" s="14">
        <f t="shared" si="0"/>
        <v>0</v>
      </c>
    </row>
    <row r="23" spans="1:5" ht="16.5" x14ac:dyDescent="0.3">
      <c r="D23" s="23" t="s">
        <v>198</v>
      </c>
      <c r="E23" s="24">
        <f>SUM(E5:E22)</f>
        <v>7069.56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G39"/>
  <sheetViews>
    <sheetView topLeftCell="A10" workbookViewId="0">
      <selection activeCell="I24" sqref="I24"/>
    </sheetView>
  </sheetViews>
  <sheetFormatPr defaultColWidth="8.85546875" defaultRowHeight="16.5" x14ac:dyDescent="0.3"/>
  <cols>
    <col min="1" max="1" width="26.85546875" style="15" customWidth="1"/>
    <col min="2" max="2" width="12.7109375" style="14" customWidth="1"/>
    <col min="3" max="4" width="12.7109375" style="16" customWidth="1"/>
    <col min="5" max="5" width="19.85546875" style="14" customWidth="1"/>
    <col min="6" max="6" width="8.85546875" style="1"/>
    <col min="9" max="9" width="10.85546875" bestFit="1" customWidth="1"/>
  </cols>
  <sheetData>
    <row r="1" spans="1:6" ht="22.5" customHeight="1" x14ac:dyDescent="0.3">
      <c r="A1" s="6" t="s">
        <v>242</v>
      </c>
      <c r="B1" s="10"/>
      <c r="C1" s="7"/>
      <c r="D1" s="7"/>
      <c r="E1" s="5"/>
    </row>
    <row r="2" spans="1:6" x14ac:dyDescent="0.3">
      <c r="A2" s="1"/>
      <c r="B2" s="4"/>
      <c r="C2" s="9"/>
      <c r="D2" s="9"/>
      <c r="E2" s="4"/>
    </row>
    <row r="3" spans="1:6" ht="22.5" customHeight="1" x14ac:dyDescent="0.3">
      <c r="A3" s="2" t="s">
        <v>4</v>
      </c>
      <c r="B3" s="11" t="s">
        <v>183</v>
      </c>
      <c r="C3" s="8" t="s">
        <v>6</v>
      </c>
      <c r="D3" s="8" t="s">
        <v>184</v>
      </c>
      <c r="E3" s="3" t="s">
        <v>185</v>
      </c>
    </row>
    <row r="4" spans="1:6" x14ac:dyDescent="0.3">
      <c r="A4" s="17" t="s">
        <v>243</v>
      </c>
      <c r="B4" s="18"/>
      <c r="C4" s="19"/>
      <c r="D4" s="19"/>
      <c r="E4" s="20"/>
    </row>
    <row r="5" spans="1:6" x14ac:dyDescent="0.3">
      <c r="A5" s="15" t="s">
        <v>41</v>
      </c>
      <c r="B5" s="14">
        <v>390</v>
      </c>
      <c r="C5" s="43">
        <v>20</v>
      </c>
      <c r="D5" s="16">
        <v>2</v>
      </c>
      <c r="E5" s="14">
        <f>B5*C5*D5</f>
        <v>15600</v>
      </c>
    </row>
    <row r="6" spans="1:6" x14ac:dyDescent="0.3">
      <c r="A6" s="15" t="s">
        <v>244</v>
      </c>
      <c r="B6" s="14">
        <v>300</v>
      </c>
      <c r="C6" s="16">
        <v>2</v>
      </c>
      <c r="D6" s="16">
        <v>2</v>
      </c>
      <c r="E6" s="14">
        <f t="shared" ref="E6:E30" si="0">B6*C6*D6</f>
        <v>1200</v>
      </c>
    </row>
    <row r="7" spans="1:6" x14ac:dyDescent="0.3">
      <c r="A7" s="15" t="s">
        <v>245</v>
      </c>
      <c r="B7" s="14">
        <v>80</v>
      </c>
      <c r="C7" s="16">
        <v>10</v>
      </c>
      <c r="D7" s="16">
        <v>2</v>
      </c>
      <c r="E7" s="14">
        <f t="shared" si="0"/>
        <v>1600</v>
      </c>
    </row>
    <row r="8" spans="1:6" ht="15.75" x14ac:dyDescent="0.3">
      <c r="A8" s="15" t="s">
        <v>246</v>
      </c>
      <c r="B8" s="14">
        <v>1.4</v>
      </c>
      <c r="C8" s="16">
        <v>9000</v>
      </c>
      <c r="D8" s="16">
        <v>2</v>
      </c>
      <c r="E8" s="14">
        <f t="shared" si="0"/>
        <v>25200</v>
      </c>
      <c r="F8" s="15" t="s">
        <v>247</v>
      </c>
    </row>
    <row r="9" spans="1:6" x14ac:dyDescent="0.3">
      <c r="A9" s="17" t="s">
        <v>248</v>
      </c>
      <c r="B9" s="18"/>
      <c r="C9" s="19"/>
      <c r="D9" s="19"/>
      <c r="E9" s="20"/>
    </row>
    <row r="10" spans="1:6" x14ac:dyDescent="0.3">
      <c r="A10" s="15" t="s">
        <v>249</v>
      </c>
      <c r="B10" s="14">
        <v>750</v>
      </c>
      <c r="C10" s="43">
        <v>30</v>
      </c>
      <c r="D10" s="16">
        <v>2</v>
      </c>
      <c r="E10" s="14">
        <f t="shared" si="0"/>
        <v>45000</v>
      </c>
    </row>
    <row r="11" spans="1:6" x14ac:dyDescent="0.3">
      <c r="A11" s="15" t="s">
        <v>250</v>
      </c>
      <c r="B11" s="14">
        <v>750</v>
      </c>
      <c r="C11" s="43">
        <v>24</v>
      </c>
      <c r="D11" s="16">
        <v>2</v>
      </c>
      <c r="E11" s="14">
        <f t="shared" si="0"/>
        <v>36000</v>
      </c>
    </row>
    <row r="12" spans="1:6" x14ac:dyDescent="0.3">
      <c r="A12" s="15" t="s">
        <v>251</v>
      </c>
      <c r="B12" s="14">
        <v>375</v>
      </c>
      <c r="C12" s="43">
        <v>34</v>
      </c>
      <c r="D12" s="16">
        <v>2</v>
      </c>
      <c r="E12" s="14">
        <f t="shared" si="0"/>
        <v>25500</v>
      </c>
    </row>
    <row r="13" spans="1:6" x14ac:dyDescent="0.3">
      <c r="A13" s="15" t="s">
        <v>252</v>
      </c>
      <c r="B13" s="14">
        <v>40</v>
      </c>
      <c r="C13" s="43">
        <v>38</v>
      </c>
      <c r="D13" s="16">
        <v>3</v>
      </c>
      <c r="E13" s="14">
        <f t="shared" si="0"/>
        <v>4560</v>
      </c>
    </row>
    <row r="14" spans="1:6" x14ac:dyDescent="0.3">
      <c r="A14" s="15" t="s">
        <v>253</v>
      </c>
      <c r="B14" s="14">
        <v>375</v>
      </c>
      <c r="C14" s="39">
        <v>24</v>
      </c>
      <c r="D14" s="16">
        <v>2</v>
      </c>
      <c r="E14" s="14">
        <f t="shared" si="0"/>
        <v>18000</v>
      </c>
    </row>
    <row r="15" spans="1:6" x14ac:dyDescent="0.3">
      <c r="A15" s="15" t="s">
        <v>244</v>
      </c>
      <c r="B15" s="14">
        <v>300</v>
      </c>
      <c r="C15" s="16">
        <v>6</v>
      </c>
      <c r="D15" s="16">
        <v>2</v>
      </c>
      <c r="E15" s="14">
        <v>6480</v>
      </c>
    </row>
    <row r="16" spans="1:6" x14ac:dyDescent="0.3">
      <c r="A16" s="15" t="s">
        <v>254</v>
      </c>
      <c r="B16" s="14">
        <v>6606.25</v>
      </c>
      <c r="C16" s="16">
        <v>1</v>
      </c>
      <c r="D16" s="16">
        <v>1</v>
      </c>
      <c r="E16" s="14">
        <f t="shared" si="0"/>
        <v>6606.25</v>
      </c>
    </row>
    <row r="17" spans="1:5" x14ac:dyDescent="0.3">
      <c r="A17" s="15" t="s">
        <v>255</v>
      </c>
      <c r="B17" s="14">
        <v>60</v>
      </c>
      <c r="C17" s="16">
        <v>1</v>
      </c>
      <c r="D17" s="16">
        <v>1</v>
      </c>
      <c r="E17" s="14">
        <f t="shared" si="0"/>
        <v>60</v>
      </c>
    </row>
    <row r="18" spans="1:5" x14ac:dyDescent="0.3">
      <c r="A18" s="17" t="s">
        <v>256</v>
      </c>
      <c r="B18" s="18"/>
      <c r="C18" s="19"/>
      <c r="D18" s="19"/>
      <c r="E18" s="20"/>
    </row>
    <row r="19" spans="1:5" x14ac:dyDescent="0.3">
      <c r="A19" s="15" t="s">
        <v>41</v>
      </c>
      <c r="B19" s="14">
        <v>1000</v>
      </c>
      <c r="C19" s="43">
        <v>23</v>
      </c>
      <c r="D19" s="16">
        <v>2</v>
      </c>
      <c r="E19" s="14">
        <f t="shared" si="0"/>
        <v>46000</v>
      </c>
    </row>
    <row r="20" spans="1:5" x14ac:dyDescent="0.3">
      <c r="A20" s="15" t="s">
        <v>41</v>
      </c>
      <c r="B20" s="14">
        <v>1100</v>
      </c>
      <c r="C20" s="43">
        <v>12</v>
      </c>
      <c r="D20" s="16">
        <v>2</v>
      </c>
      <c r="E20" s="14">
        <f t="shared" si="0"/>
        <v>26400</v>
      </c>
    </row>
    <row r="21" spans="1:5" x14ac:dyDescent="0.3">
      <c r="A21" s="15" t="s">
        <v>257</v>
      </c>
      <c r="B21" s="14">
        <v>550</v>
      </c>
      <c r="C21" s="43">
        <v>9</v>
      </c>
      <c r="D21" s="16">
        <v>2</v>
      </c>
      <c r="E21" s="14">
        <f t="shared" si="0"/>
        <v>9900</v>
      </c>
    </row>
    <row r="22" spans="1:5" x14ac:dyDescent="0.3">
      <c r="A22" s="15" t="s">
        <v>258</v>
      </c>
      <c r="B22" s="14">
        <v>750</v>
      </c>
      <c r="C22" s="43">
        <v>8</v>
      </c>
      <c r="D22" s="16">
        <v>2</v>
      </c>
      <c r="E22" s="14">
        <f t="shared" si="0"/>
        <v>12000</v>
      </c>
    </row>
    <row r="23" spans="1:5" x14ac:dyDescent="0.3">
      <c r="A23" s="15" t="s">
        <v>244</v>
      </c>
      <c r="B23" s="14">
        <v>300</v>
      </c>
      <c r="C23" s="16">
        <v>2</v>
      </c>
      <c r="D23" s="16">
        <v>2</v>
      </c>
      <c r="E23" s="14">
        <f t="shared" si="0"/>
        <v>1200</v>
      </c>
    </row>
    <row r="24" spans="1:5" x14ac:dyDescent="0.3">
      <c r="A24" s="15" t="s">
        <v>255</v>
      </c>
      <c r="B24" s="14">
        <v>150</v>
      </c>
      <c r="C24" s="16">
        <v>1</v>
      </c>
      <c r="D24" s="16">
        <v>1</v>
      </c>
      <c r="E24" s="14">
        <f t="shared" si="0"/>
        <v>150</v>
      </c>
    </row>
    <row r="25" spans="1:5" x14ac:dyDescent="0.3">
      <c r="A25" s="15" t="s">
        <v>259</v>
      </c>
      <c r="E25" s="14">
        <f t="shared" si="0"/>
        <v>0</v>
      </c>
    </row>
    <row r="26" spans="1:5" x14ac:dyDescent="0.3">
      <c r="A26" s="17" t="s">
        <v>260</v>
      </c>
      <c r="B26" s="18"/>
      <c r="C26" s="19"/>
      <c r="D26" s="19"/>
      <c r="E26" s="20"/>
    </row>
    <row r="27" spans="1:5" x14ac:dyDescent="0.3">
      <c r="A27" s="15" t="s">
        <v>41</v>
      </c>
      <c r="B27" s="14">
        <v>840</v>
      </c>
      <c r="C27" s="43">
        <v>8</v>
      </c>
      <c r="D27" s="16">
        <v>2</v>
      </c>
      <c r="E27" s="14">
        <f t="shared" si="0"/>
        <v>13440</v>
      </c>
    </row>
    <row r="28" spans="1:5" x14ac:dyDescent="0.3">
      <c r="A28" s="15" t="s">
        <v>261</v>
      </c>
      <c r="B28" s="14">
        <v>840</v>
      </c>
      <c r="C28" s="16">
        <v>2</v>
      </c>
      <c r="D28" s="16">
        <v>2</v>
      </c>
      <c r="E28" s="14">
        <f t="shared" si="0"/>
        <v>3360</v>
      </c>
    </row>
    <row r="29" spans="1:5" x14ac:dyDescent="0.3">
      <c r="A29" s="15" t="s">
        <v>262</v>
      </c>
      <c r="E29" s="14">
        <f t="shared" si="0"/>
        <v>0</v>
      </c>
    </row>
    <row r="30" spans="1:5" x14ac:dyDescent="0.3">
      <c r="A30" s="15" t="s">
        <v>259</v>
      </c>
      <c r="E30" s="14">
        <f t="shared" si="0"/>
        <v>0</v>
      </c>
    </row>
    <row r="31" spans="1:5" x14ac:dyDescent="0.3">
      <c r="A31" s="17" t="s">
        <v>255</v>
      </c>
      <c r="B31" s="18"/>
      <c r="C31" s="19"/>
      <c r="D31" s="19"/>
      <c r="E31" s="20"/>
    </row>
    <row r="32" spans="1:5" x14ac:dyDescent="0.3">
      <c r="A32" s="15" t="s">
        <v>263</v>
      </c>
      <c r="B32" s="14">
        <v>0</v>
      </c>
      <c r="E32" s="14">
        <f t="shared" ref="E32:E36" si="1">B32*C32*D32</f>
        <v>0</v>
      </c>
    </row>
    <row r="33" spans="1:7" x14ac:dyDescent="0.3">
      <c r="A33" s="17" t="s">
        <v>264</v>
      </c>
      <c r="B33" s="20"/>
      <c r="C33" s="21"/>
      <c r="D33" s="21"/>
      <c r="E33" s="20"/>
    </row>
    <row r="34" spans="1:7" x14ac:dyDescent="0.3">
      <c r="A34" s="15" t="s">
        <v>265</v>
      </c>
      <c r="B34" s="14">
        <v>7700</v>
      </c>
      <c r="C34" s="16">
        <v>1</v>
      </c>
      <c r="D34" s="16">
        <v>1</v>
      </c>
      <c r="E34" s="14">
        <f t="shared" si="1"/>
        <v>7700</v>
      </c>
    </row>
    <row r="35" spans="1:7" x14ac:dyDescent="0.3">
      <c r="A35" s="15" t="s">
        <v>266</v>
      </c>
      <c r="B35" s="14">
        <v>1020</v>
      </c>
      <c r="C35" s="16">
        <v>1</v>
      </c>
      <c r="D35" s="16">
        <v>1</v>
      </c>
      <c r="E35" s="14">
        <f t="shared" si="1"/>
        <v>1020</v>
      </c>
      <c r="G35" t="s">
        <v>267</v>
      </c>
    </row>
    <row r="36" spans="1:7" x14ac:dyDescent="0.3">
      <c r="A36" s="15" t="s">
        <v>268</v>
      </c>
      <c r="B36" s="14">
        <v>920</v>
      </c>
      <c r="C36" s="16">
        <v>1</v>
      </c>
      <c r="D36" s="16">
        <v>1</v>
      </c>
      <c r="E36" s="14">
        <f t="shared" si="1"/>
        <v>920</v>
      </c>
    </row>
    <row r="39" spans="1:7" x14ac:dyDescent="0.3">
      <c r="D39" s="23" t="s">
        <v>185</v>
      </c>
      <c r="E39" s="24">
        <f>SUM(E5:E38)</f>
        <v>307896.25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C8" sqref="C8:C16"/>
    </sheetView>
  </sheetViews>
  <sheetFormatPr defaultColWidth="9.140625" defaultRowHeight="15.75" x14ac:dyDescent="0.3"/>
  <cols>
    <col min="1" max="1" width="14.140625" style="66" customWidth="1"/>
    <col min="2" max="2" width="37.85546875" style="15" customWidth="1"/>
    <col min="3" max="3" width="11.140625" style="128" customWidth="1"/>
    <col min="4" max="4" width="11.140625" style="68" customWidth="1"/>
    <col min="5" max="5" width="11.140625" style="128" customWidth="1"/>
    <col min="6" max="6" width="50.42578125" style="103" customWidth="1"/>
  </cols>
  <sheetData>
    <row r="1" spans="1:6" x14ac:dyDescent="0.3">
      <c r="A1" s="58"/>
      <c r="B1" s="59" t="s">
        <v>0</v>
      </c>
      <c r="C1" s="177" t="s">
        <v>1</v>
      </c>
      <c r="D1" s="177"/>
      <c r="E1" s="177"/>
      <c r="F1" s="60"/>
    </row>
    <row r="2" spans="1:6" ht="16.5" thickBot="1" x14ac:dyDescent="0.35">
      <c r="A2" s="61"/>
      <c r="B2" s="62" t="s">
        <v>2</v>
      </c>
      <c r="C2" s="127">
        <v>17</v>
      </c>
      <c r="D2" s="63"/>
      <c r="E2" s="64"/>
      <c r="F2" s="65"/>
    </row>
    <row r="3" spans="1:6" x14ac:dyDescent="0.3">
      <c r="C3" s="172"/>
      <c r="E3" s="172"/>
      <c r="F3" s="69"/>
    </row>
    <row r="4" spans="1:6" x14ac:dyDescent="0.3">
      <c r="C4" s="172"/>
      <c r="E4" s="172"/>
      <c r="F4" s="69"/>
    </row>
    <row r="5" spans="1:6" ht="16.5" thickBot="1" x14ac:dyDescent="0.35">
      <c r="A5" s="70"/>
      <c r="B5" s="71" t="s">
        <v>4</v>
      </c>
      <c r="C5" s="72" t="s">
        <v>5</v>
      </c>
      <c r="D5" s="73" t="s">
        <v>6</v>
      </c>
      <c r="E5" s="72" t="s">
        <v>7</v>
      </c>
      <c r="F5" s="74" t="s">
        <v>8</v>
      </c>
    </row>
    <row r="6" spans="1:6" ht="16.5" thickTop="1" x14ac:dyDescent="0.3">
      <c r="C6" s="172"/>
      <c r="E6" s="172"/>
      <c r="F6" s="69"/>
    </row>
    <row r="7" spans="1:6" ht="16.5" thickBot="1" x14ac:dyDescent="0.35">
      <c r="A7" s="70" t="s">
        <v>118</v>
      </c>
      <c r="B7" s="71"/>
      <c r="C7" s="72"/>
      <c r="D7" s="73"/>
      <c r="E7" s="72"/>
      <c r="F7" s="75">
        <f>SUM(E8:E16)</f>
        <v>69800</v>
      </c>
    </row>
    <row r="8" spans="1:6" ht="16.5" thickTop="1" x14ac:dyDescent="0.3">
      <c r="A8" s="76" t="s">
        <v>10</v>
      </c>
      <c r="B8" s="77" t="s">
        <v>119</v>
      </c>
      <c r="C8" s="78">
        <v>29000</v>
      </c>
      <c r="D8" s="79">
        <v>1</v>
      </c>
      <c r="E8" s="80">
        <f>SUM(C8*D8)</f>
        <v>29000</v>
      </c>
      <c r="F8" s="69"/>
    </row>
    <row r="9" spans="1:6" x14ac:dyDescent="0.3">
      <c r="A9" s="76" t="s">
        <v>13</v>
      </c>
      <c r="B9" s="77" t="s">
        <v>120</v>
      </c>
      <c r="C9" s="78">
        <v>4500</v>
      </c>
      <c r="D9" s="79">
        <v>1</v>
      </c>
      <c r="E9" s="80">
        <f t="shared" ref="E9:E16" si="0">SUM(C9*D9)</f>
        <v>4500</v>
      </c>
      <c r="F9" s="69"/>
    </row>
    <row r="10" spans="1:6" x14ac:dyDescent="0.3">
      <c r="A10" s="76" t="s">
        <v>13</v>
      </c>
      <c r="B10" s="77" t="s">
        <v>121</v>
      </c>
      <c r="C10" s="78">
        <v>4100</v>
      </c>
      <c r="D10" s="79">
        <v>1</v>
      </c>
      <c r="E10" s="80">
        <f t="shared" si="0"/>
        <v>4100</v>
      </c>
      <c r="F10" s="69"/>
    </row>
    <row r="11" spans="1:6" x14ac:dyDescent="0.3">
      <c r="A11" s="76" t="s">
        <v>13</v>
      </c>
      <c r="B11" s="77" t="s">
        <v>122</v>
      </c>
      <c r="C11" s="78">
        <v>3100</v>
      </c>
      <c r="D11" s="79">
        <v>1</v>
      </c>
      <c r="E11" s="80">
        <f t="shared" si="0"/>
        <v>3100</v>
      </c>
      <c r="F11" s="69"/>
    </row>
    <row r="12" spans="1:6" x14ac:dyDescent="0.3">
      <c r="A12" s="76" t="s">
        <v>123</v>
      </c>
      <c r="B12" s="77" t="s">
        <v>124</v>
      </c>
      <c r="C12" s="78">
        <v>11700</v>
      </c>
      <c r="D12" s="79">
        <v>1</v>
      </c>
      <c r="E12" s="80">
        <f t="shared" si="0"/>
        <v>11700</v>
      </c>
      <c r="F12" s="69"/>
    </row>
    <row r="13" spans="1:6" x14ac:dyDescent="0.3">
      <c r="A13" s="76" t="s">
        <v>13</v>
      </c>
      <c r="B13" s="77" t="s">
        <v>93</v>
      </c>
      <c r="C13" s="78">
        <v>2600</v>
      </c>
      <c r="D13" s="79">
        <v>1</v>
      </c>
      <c r="E13" s="80">
        <f t="shared" si="0"/>
        <v>2600</v>
      </c>
      <c r="F13" s="69"/>
    </row>
    <row r="14" spans="1:6" x14ac:dyDescent="0.3">
      <c r="A14" s="66" t="s">
        <v>13</v>
      </c>
      <c r="B14" s="15" t="s">
        <v>125</v>
      </c>
      <c r="C14" s="171">
        <v>10200</v>
      </c>
      <c r="D14" s="108">
        <v>1</v>
      </c>
      <c r="E14" s="171">
        <f t="shared" si="0"/>
        <v>10200</v>
      </c>
      <c r="F14" s="109" t="s">
        <v>126</v>
      </c>
    </row>
    <row r="15" spans="1:6" x14ac:dyDescent="0.3">
      <c r="B15" s="15" t="s">
        <v>127</v>
      </c>
      <c r="C15" s="171">
        <v>2850</v>
      </c>
      <c r="D15" s="108">
        <v>1</v>
      </c>
      <c r="E15" s="171">
        <f t="shared" si="0"/>
        <v>2850</v>
      </c>
      <c r="F15" s="109"/>
    </row>
    <row r="16" spans="1:6" x14ac:dyDescent="0.3">
      <c r="B16" s="15" t="s">
        <v>128</v>
      </c>
      <c r="C16" s="172">
        <v>1750</v>
      </c>
      <c r="D16" s="68">
        <v>1</v>
      </c>
      <c r="E16" s="172">
        <f t="shared" si="0"/>
        <v>1750</v>
      </c>
    </row>
  </sheetData>
  <sheetProtection selectLockedCells="1"/>
  <mergeCells count="1">
    <mergeCell ref="C1:E1"/>
  </mergeCells>
  <pageMargins left="0.7" right="0.7" top="0.75" bottom="0.75" header="0.3" footer="0.3"/>
  <pageSetup paperSize="8" orientation="portrait" r:id="rId1"/>
  <headerFooter>
    <oddHeader>&amp;L&amp;"Trebuchet MS,Bold"Hull 2017 Draft Budget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H25"/>
  <sheetViews>
    <sheetView topLeftCell="A3" workbookViewId="0">
      <selection activeCell="E14" sqref="E14"/>
    </sheetView>
  </sheetViews>
  <sheetFormatPr defaultColWidth="8.85546875" defaultRowHeight="15.75" x14ac:dyDescent="0.3"/>
  <cols>
    <col min="1" max="1" width="30.28515625" style="15" customWidth="1"/>
    <col min="2" max="2" width="15.42578125" style="14" bestFit="1" customWidth="1"/>
    <col min="3" max="3" width="14.85546875" style="14" customWidth="1"/>
    <col min="4" max="4" width="12.7109375" style="16" customWidth="1"/>
    <col min="5" max="5" width="19.85546875" style="14" customWidth="1"/>
  </cols>
  <sheetData>
    <row r="1" spans="1:8" ht="22.5" customHeight="1" x14ac:dyDescent="0.3">
      <c r="A1" s="6" t="s">
        <v>129</v>
      </c>
      <c r="B1" s="10"/>
      <c r="C1" s="10"/>
      <c r="D1" s="7"/>
      <c r="E1" s="5"/>
    </row>
    <row r="2" spans="1:8" ht="16.5" x14ac:dyDescent="0.3">
      <c r="A2" s="1"/>
      <c r="B2" s="4"/>
      <c r="C2" s="4"/>
      <c r="D2" s="9"/>
      <c r="E2" s="28"/>
    </row>
    <row r="3" spans="1:8" ht="22.5" customHeight="1" x14ac:dyDescent="0.25">
      <c r="A3" s="2" t="s">
        <v>130</v>
      </c>
      <c r="B3" s="11"/>
      <c r="C3" s="11"/>
      <c r="D3" s="8"/>
      <c r="E3" s="29"/>
    </row>
    <row r="4" spans="1:8" x14ac:dyDescent="0.3">
      <c r="A4" s="33" t="s">
        <v>131</v>
      </c>
      <c r="B4" s="34">
        <f>Income!O21</f>
        <v>577737.20999999985</v>
      </c>
      <c r="C4" s="34"/>
      <c r="D4" s="35"/>
      <c r="E4" s="30"/>
    </row>
    <row r="5" spans="1:8" x14ac:dyDescent="0.3">
      <c r="A5" s="12" t="s">
        <v>132</v>
      </c>
      <c r="B5" s="13"/>
      <c r="E5" s="148" t="s">
        <v>133</v>
      </c>
      <c r="F5" s="156" t="str">
        <f>Income!C24</f>
        <v>Bus :</v>
      </c>
      <c r="G5" s="149" t="s">
        <v>134</v>
      </c>
      <c r="H5" s="149"/>
    </row>
    <row r="6" spans="1:8" s="1" customFormat="1" ht="16.5" x14ac:dyDescent="0.3">
      <c r="A6" s="15"/>
      <c r="B6" s="14"/>
      <c r="C6" s="14"/>
      <c r="D6" s="16"/>
      <c r="E6" s="14"/>
    </row>
    <row r="7" spans="1:8" s="1" customFormat="1" ht="22.5" customHeight="1" x14ac:dyDescent="0.3">
      <c r="A7" s="2" t="s">
        <v>135</v>
      </c>
      <c r="B7" s="31"/>
      <c r="C7" s="31"/>
      <c r="D7" s="32"/>
      <c r="E7" s="14"/>
    </row>
    <row r="8" spans="1:8" s="1" customFormat="1" ht="16.5" customHeight="1" x14ac:dyDescent="0.3">
      <c r="A8" s="41" t="s">
        <v>136</v>
      </c>
      <c r="B8" s="40"/>
      <c r="C8" s="42">
        <f>'PM-TM'!E16</f>
        <v>116760</v>
      </c>
      <c r="D8" s="39"/>
      <c r="E8" s="14"/>
    </row>
    <row r="9" spans="1:8" s="1" customFormat="1" ht="16.5" customHeight="1" x14ac:dyDescent="0.3">
      <c r="A9" s="12" t="s">
        <v>33</v>
      </c>
      <c r="B9" s="14"/>
      <c r="C9" s="13">
        <f>'EXP. BC'!E27</f>
        <v>90888</v>
      </c>
      <c r="D9" s="16"/>
      <c r="E9" s="14"/>
    </row>
    <row r="10" spans="1:8" s="1" customFormat="1" ht="16.5" x14ac:dyDescent="0.3">
      <c r="A10" s="12" t="s">
        <v>35</v>
      </c>
      <c r="B10" s="14"/>
      <c r="C10" s="13">
        <f>'EXP. Walton St'!E19</f>
        <v>12814.7</v>
      </c>
      <c r="D10" s="16"/>
      <c r="E10" s="14"/>
    </row>
    <row r="11" spans="1:8" s="1" customFormat="1" ht="16.5" x14ac:dyDescent="0.3">
      <c r="A11" s="12" t="s">
        <v>137</v>
      </c>
      <c r="B11" s="14"/>
      <c r="C11" s="13">
        <f>'EXP. Leconfield'!E20</f>
        <v>23634.06</v>
      </c>
      <c r="D11" s="16"/>
      <c r="E11" s="14"/>
    </row>
    <row r="12" spans="1:8" s="1" customFormat="1" ht="16.5" x14ac:dyDescent="0.3">
      <c r="A12" s="12" t="s">
        <v>37</v>
      </c>
      <c r="B12" s="14"/>
      <c r="C12" s="13">
        <f>'EXP. Interchange'!E21</f>
        <v>5060</v>
      </c>
      <c r="D12" s="16"/>
      <c r="E12" s="14"/>
    </row>
    <row r="13" spans="1:8" s="1" customFormat="1" ht="16.5" x14ac:dyDescent="0.3">
      <c r="A13" s="12" t="s">
        <v>138</v>
      </c>
      <c r="B13" s="14"/>
      <c r="C13" s="13">
        <f>'EXP. Grove Hill'!E23</f>
        <v>7069.56</v>
      </c>
      <c r="D13" s="16"/>
      <c r="E13" s="14"/>
    </row>
    <row r="14" spans="1:8" s="1" customFormat="1" ht="16.5" x14ac:dyDescent="0.3">
      <c r="A14" s="12" t="s">
        <v>40</v>
      </c>
      <c r="B14" s="14"/>
      <c r="C14" s="13">
        <f>'EXP. all sites'!E16</f>
        <v>4511</v>
      </c>
      <c r="D14" s="16"/>
      <c r="E14" s="14"/>
    </row>
    <row r="15" spans="1:8" s="1" customFormat="1" ht="16.5" x14ac:dyDescent="0.3">
      <c r="A15" s="12" t="s">
        <v>139</v>
      </c>
      <c r="B15" s="14"/>
      <c r="C15" s="13">
        <f>'EXP. Buses'!E39</f>
        <v>307896.25</v>
      </c>
      <c r="D15" s="16"/>
      <c r="E15" s="14"/>
    </row>
    <row r="16" spans="1:8" s="1" customFormat="1" ht="16.5" x14ac:dyDescent="0.3">
      <c r="A16" s="15"/>
      <c r="B16" s="14"/>
      <c r="C16" s="14"/>
      <c r="D16" s="16"/>
      <c r="E16" s="14"/>
    </row>
    <row r="17" spans="1:5" s="1" customFormat="1" ht="16.5" x14ac:dyDescent="0.3">
      <c r="A17" s="12" t="s">
        <v>140</v>
      </c>
      <c r="B17" s="22">
        <f>SUM(B4:B16)</f>
        <v>577737.20999999985</v>
      </c>
      <c r="C17" s="13"/>
      <c r="D17" s="16"/>
      <c r="E17" s="14"/>
    </row>
    <row r="18" spans="1:5" s="1" customFormat="1" ht="16.5" x14ac:dyDescent="0.3">
      <c r="A18" s="12" t="s">
        <v>141</v>
      </c>
      <c r="B18" s="13"/>
      <c r="C18" s="22">
        <f>SUM(C8:C17)</f>
        <v>568633.57000000007</v>
      </c>
      <c r="D18" s="16"/>
      <c r="E18" s="14"/>
    </row>
    <row r="19" spans="1:5" s="1" customFormat="1" ht="16.5" x14ac:dyDescent="0.3">
      <c r="A19" s="15"/>
      <c r="B19" s="14"/>
      <c r="C19" s="14"/>
      <c r="D19" s="16"/>
      <c r="E19" s="14"/>
    </row>
    <row r="20" spans="1:5" s="1" customFormat="1" ht="16.5" x14ac:dyDescent="0.3">
      <c r="A20" s="15"/>
      <c r="B20" s="14"/>
      <c r="C20" s="14"/>
      <c r="D20" s="16"/>
      <c r="E20" s="14"/>
    </row>
    <row r="21" spans="1:5" s="1" customFormat="1" ht="16.5" x14ac:dyDescent="0.3">
      <c r="A21" s="36" t="s">
        <v>106</v>
      </c>
      <c r="B21" s="24">
        <f>B17-C18</f>
        <v>9103.6399999997811</v>
      </c>
      <c r="C21" s="14"/>
      <c r="D21" s="16"/>
      <c r="E21" s="14"/>
    </row>
    <row r="22" spans="1:5" s="1" customFormat="1" ht="16.5" x14ac:dyDescent="0.3">
      <c r="A22" s="15"/>
      <c r="B22" s="14"/>
      <c r="C22" s="14"/>
      <c r="D22" s="16"/>
      <c r="E22" s="14"/>
    </row>
    <row r="23" spans="1:5" s="1" customFormat="1" ht="16.5" x14ac:dyDescent="0.3">
      <c r="A23" s="15"/>
      <c r="B23" s="14"/>
      <c r="C23" s="14"/>
      <c r="D23" s="16"/>
      <c r="E23" s="14"/>
    </row>
    <row r="24" spans="1:5" s="1" customFormat="1" ht="16.5" x14ac:dyDescent="0.3">
      <c r="A24" s="15"/>
      <c r="B24" s="14"/>
      <c r="C24" s="14"/>
      <c r="D24" s="16"/>
      <c r="E24" s="14"/>
    </row>
    <row r="25" spans="1:5" s="1" customFormat="1" ht="16.5" x14ac:dyDescent="0.3">
      <c r="A25" s="15"/>
      <c r="B25" s="14"/>
      <c r="C25" s="14"/>
      <c r="D25" s="16"/>
      <c r="E25" s="14"/>
    </row>
  </sheetData>
  <sheetProtection selectLockedCell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O42"/>
  <sheetViews>
    <sheetView topLeftCell="A3" workbookViewId="0">
      <selection activeCell="P17" sqref="P17"/>
    </sheetView>
  </sheetViews>
  <sheetFormatPr defaultColWidth="8.85546875" defaultRowHeight="16.5" x14ac:dyDescent="0.3"/>
  <cols>
    <col min="1" max="1" width="22.42578125" style="15" customWidth="1"/>
    <col min="2" max="2" width="11.7109375" style="14" customWidth="1"/>
    <col min="3" max="3" width="10" style="14" customWidth="1"/>
    <col min="4" max="4" width="12.7109375" style="14" customWidth="1"/>
    <col min="5" max="5" width="15" style="46" bestFit="1" customWidth="1"/>
    <col min="6" max="7" width="13" style="14" customWidth="1"/>
    <col min="8" max="8" width="12.7109375" style="48" customWidth="1"/>
    <col min="9" max="9" width="12.7109375" style="14" customWidth="1"/>
    <col min="10" max="10" width="13" style="27" customWidth="1"/>
    <col min="11" max="11" width="18.42578125" style="27" customWidth="1"/>
    <col min="12" max="12" width="18.42578125" style="26" customWidth="1"/>
    <col min="13" max="13" width="18.42578125" style="4" customWidth="1"/>
    <col min="14" max="14" width="18.42578125" style="1" customWidth="1"/>
    <col min="15" max="15" width="18.42578125" style="142" customWidth="1"/>
    <col min="18" max="18" width="9.140625" bestFit="1" customWidth="1"/>
  </cols>
  <sheetData>
    <row r="1" spans="1:15" ht="22.5" customHeight="1" x14ac:dyDescent="0.3">
      <c r="A1" s="6" t="s">
        <v>142</v>
      </c>
      <c r="B1" s="10"/>
      <c r="C1" s="10"/>
      <c r="D1" s="10"/>
      <c r="E1" s="45"/>
      <c r="F1" s="10"/>
      <c r="G1" s="10"/>
      <c r="H1" s="47"/>
      <c r="I1" s="10"/>
      <c r="J1" s="25"/>
      <c r="K1" s="131"/>
      <c r="L1" s="135"/>
      <c r="M1" s="133"/>
      <c r="N1" s="37"/>
      <c r="O1" s="140"/>
    </row>
    <row r="2" spans="1:15" ht="23.25" customHeight="1" x14ac:dyDescent="0.35">
      <c r="A2" s="132" t="s">
        <v>143</v>
      </c>
      <c r="B2" s="159" t="s">
        <v>144</v>
      </c>
      <c r="C2" s="5"/>
      <c r="D2" s="5"/>
      <c r="E2" s="129"/>
      <c r="F2" s="5"/>
      <c r="G2" s="5"/>
      <c r="H2" s="130"/>
      <c r="I2" s="5"/>
      <c r="J2" s="131"/>
      <c r="K2" s="131"/>
      <c r="L2" s="131"/>
      <c r="M2" s="5"/>
      <c r="N2" s="37"/>
      <c r="O2" s="140"/>
    </row>
    <row r="3" spans="1:15" ht="61.5" customHeight="1" x14ac:dyDescent="0.25">
      <c r="A3" s="2" t="s">
        <v>4</v>
      </c>
      <c r="B3" s="3" t="s">
        <v>145</v>
      </c>
      <c r="C3" s="44" t="s">
        <v>146</v>
      </c>
      <c r="D3" s="44" t="s">
        <v>147</v>
      </c>
      <c r="E3" s="56" t="s">
        <v>148</v>
      </c>
      <c r="F3" s="44" t="s">
        <v>149</v>
      </c>
      <c r="G3" s="44" t="s">
        <v>150</v>
      </c>
      <c r="H3" s="47" t="s">
        <v>151</v>
      </c>
      <c r="I3" s="3" t="s">
        <v>152</v>
      </c>
      <c r="J3" s="51" t="s">
        <v>153</v>
      </c>
      <c r="K3" s="136" t="s">
        <v>154</v>
      </c>
      <c r="L3" s="136" t="s">
        <v>155</v>
      </c>
      <c r="M3" s="3" t="s">
        <v>156</v>
      </c>
      <c r="N3" s="3" t="s">
        <v>157</v>
      </c>
      <c r="O3" s="44" t="s">
        <v>158</v>
      </c>
    </row>
    <row r="4" spans="1:15" x14ac:dyDescent="0.3">
      <c r="A4" s="52" t="s">
        <v>159</v>
      </c>
      <c r="B4" s="50"/>
      <c r="C4" s="50"/>
      <c r="D4" s="50"/>
      <c r="E4" s="53"/>
      <c r="F4" s="50"/>
      <c r="G4" s="50"/>
      <c r="H4" s="54"/>
      <c r="I4" s="50"/>
      <c r="J4" s="55"/>
      <c r="K4" s="137"/>
      <c r="L4" s="137"/>
      <c r="M4" s="49"/>
      <c r="N4" s="134"/>
      <c r="O4" s="141"/>
    </row>
    <row r="5" spans="1:15" x14ac:dyDescent="0.3">
      <c r="A5" s="52" t="s">
        <v>160</v>
      </c>
      <c r="B5" s="50"/>
      <c r="C5" s="50"/>
      <c r="D5" s="50"/>
      <c r="E5" s="53"/>
      <c r="F5" s="50"/>
      <c r="G5" s="50"/>
      <c r="H5" s="54"/>
      <c r="I5" s="50"/>
      <c r="J5" s="55"/>
      <c r="K5" s="137"/>
      <c r="L5" s="137"/>
      <c r="M5" s="49"/>
      <c r="N5" s="134"/>
      <c r="O5" s="141"/>
    </row>
    <row r="6" spans="1:15" x14ac:dyDescent="0.3">
      <c r="A6" s="15" t="s">
        <v>161</v>
      </c>
      <c r="B6" s="114">
        <v>13</v>
      </c>
      <c r="C6" s="115">
        <v>0.75</v>
      </c>
      <c r="D6" s="18">
        <f>B6-C6</f>
        <v>12.25</v>
      </c>
      <c r="E6" s="118">
        <v>0.06</v>
      </c>
      <c r="F6" s="20">
        <f>B6*E6</f>
        <v>0.78</v>
      </c>
      <c r="G6" s="18">
        <f>D6-F6</f>
        <v>11.47</v>
      </c>
      <c r="H6" s="121" t="s">
        <v>162</v>
      </c>
      <c r="I6" s="20">
        <f>IF(H6="Y",G6/1.2,G6)</f>
        <v>11.47</v>
      </c>
      <c r="J6" s="124">
        <v>12000</v>
      </c>
      <c r="K6" s="138">
        <v>12067</v>
      </c>
      <c r="L6" s="145">
        <v>12069</v>
      </c>
      <c r="M6" s="18">
        <f>K6*I6</f>
        <v>138408.49000000002</v>
      </c>
      <c r="N6" s="18">
        <f>L6*I6</f>
        <v>138431.43000000002</v>
      </c>
      <c r="O6" s="143">
        <f>SUM(M6:N6)</f>
        <v>276839.92000000004</v>
      </c>
    </row>
    <row r="7" spans="1:15" x14ac:dyDescent="0.3">
      <c r="A7" s="52" t="s">
        <v>163</v>
      </c>
      <c r="B7" s="116"/>
      <c r="C7" s="117"/>
      <c r="D7" s="50"/>
      <c r="E7" s="119"/>
      <c r="F7" s="49"/>
      <c r="G7" s="50"/>
      <c r="H7" s="122"/>
      <c r="I7" s="49"/>
      <c r="J7" s="125"/>
      <c r="K7" s="139"/>
      <c r="L7" s="125"/>
      <c r="M7" s="50"/>
      <c r="N7" s="50"/>
      <c r="O7" s="144"/>
    </row>
    <row r="8" spans="1:15" x14ac:dyDescent="0.3">
      <c r="A8" s="15" t="s">
        <v>161</v>
      </c>
      <c r="B8" s="114">
        <v>13</v>
      </c>
      <c r="C8" s="115">
        <v>0.75</v>
      </c>
      <c r="D8" s="18">
        <f t="shared" ref="D8:D16" si="0">B8-C8</f>
        <v>12.25</v>
      </c>
      <c r="E8" s="118">
        <v>0.06</v>
      </c>
      <c r="F8" s="20">
        <f t="shared" ref="F8:F16" si="1">B8*E8</f>
        <v>0.78</v>
      </c>
      <c r="G8" s="18">
        <f>D8-F8</f>
        <v>11.47</v>
      </c>
      <c r="H8" s="121" t="s">
        <v>162</v>
      </c>
      <c r="I8" s="20">
        <f t="shared" ref="I8:I13" si="2">IF(H8="Y",G8/1.2,G8)</f>
        <v>11.47</v>
      </c>
      <c r="J8" s="124">
        <v>4500</v>
      </c>
      <c r="K8" s="138">
        <v>2747</v>
      </c>
      <c r="L8" s="145">
        <v>2893</v>
      </c>
      <c r="M8" s="18">
        <f t="shared" ref="M8:M16" si="3">K8*I8</f>
        <v>31508.09</v>
      </c>
      <c r="N8" s="18">
        <f>L8*I8</f>
        <v>33182.71</v>
      </c>
      <c r="O8" s="143">
        <f>SUM(M8:N8)</f>
        <v>64690.8</v>
      </c>
    </row>
    <row r="9" spans="1:15" x14ac:dyDescent="0.3">
      <c r="A9" s="15" t="s">
        <v>164</v>
      </c>
      <c r="B9" s="114">
        <v>7.5</v>
      </c>
      <c r="C9" s="115">
        <v>0</v>
      </c>
      <c r="D9" s="18">
        <f t="shared" si="0"/>
        <v>7.5</v>
      </c>
      <c r="E9" s="118">
        <v>0.06</v>
      </c>
      <c r="F9" s="20">
        <f t="shared" si="1"/>
        <v>0.44999999999999996</v>
      </c>
      <c r="G9" s="18">
        <f>D9-F9</f>
        <v>7.05</v>
      </c>
      <c r="H9" s="121" t="s">
        <v>165</v>
      </c>
      <c r="I9" s="20">
        <f>IF(H9="Y",D9/1.2,D9)-F9</f>
        <v>5.8</v>
      </c>
      <c r="J9" s="124">
        <v>1900</v>
      </c>
      <c r="K9" s="138">
        <v>1122</v>
      </c>
      <c r="L9" s="145">
        <v>1190</v>
      </c>
      <c r="M9" s="18">
        <f t="shared" si="3"/>
        <v>6507.5999999999995</v>
      </c>
      <c r="N9" s="18">
        <f>L9*I9</f>
        <v>6902</v>
      </c>
      <c r="O9" s="143">
        <f>SUM(M9:N9)</f>
        <v>13409.599999999999</v>
      </c>
    </row>
    <row r="10" spans="1:15" x14ac:dyDescent="0.3">
      <c r="A10" s="52" t="s">
        <v>138</v>
      </c>
      <c r="B10" s="116"/>
      <c r="C10" s="117"/>
      <c r="D10" s="50"/>
      <c r="E10" s="119"/>
      <c r="F10" s="49"/>
      <c r="G10" s="50"/>
      <c r="H10" s="122"/>
      <c r="I10" s="49"/>
      <c r="J10" s="125"/>
      <c r="K10" s="139"/>
      <c r="L10" s="125"/>
      <c r="M10" s="50"/>
      <c r="N10" s="50"/>
      <c r="O10" s="144"/>
    </row>
    <row r="11" spans="1:15" x14ac:dyDescent="0.3">
      <c r="A11" s="15" t="s">
        <v>161</v>
      </c>
      <c r="B11" s="114">
        <v>13</v>
      </c>
      <c r="C11" s="115">
        <v>0.75</v>
      </c>
      <c r="D11" s="18">
        <f t="shared" si="0"/>
        <v>12.25</v>
      </c>
      <c r="E11" s="118">
        <v>0.06</v>
      </c>
      <c r="F11" s="20">
        <f t="shared" si="1"/>
        <v>0.78</v>
      </c>
      <c r="G11" s="18">
        <f>D11-F11</f>
        <v>11.47</v>
      </c>
      <c r="H11" s="121" t="s">
        <v>162</v>
      </c>
      <c r="I11" s="20">
        <f t="shared" si="2"/>
        <v>11.47</v>
      </c>
      <c r="J11" s="124">
        <v>3000</v>
      </c>
      <c r="K11" s="138">
        <v>3173</v>
      </c>
      <c r="L11" s="145">
        <v>3226</v>
      </c>
      <c r="M11" s="18">
        <f t="shared" si="3"/>
        <v>36394.310000000005</v>
      </c>
      <c r="N11" s="18">
        <f>L11*I11</f>
        <v>37002.22</v>
      </c>
      <c r="O11" s="143">
        <f>SUM(M11:N11)</f>
        <v>73396.53</v>
      </c>
    </row>
    <row r="12" spans="1:15" x14ac:dyDescent="0.3">
      <c r="A12" s="52" t="s">
        <v>166</v>
      </c>
      <c r="B12" s="116"/>
      <c r="C12" s="117"/>
      <c r="D12" s="50"/>
      <c r="E12" s="119"/>
      <c r="F12" s="49"/>
      <c r="G12" s="50"/>
      <c r="H12" s="122"/>
      <c r="I12" s="49"/>
      <c r="J12" s="125"/>
      <c r="K12" s="139"/>
      <c r="L12" s="125"/>
      <c r="M12" s="50"/>
      <c r="N12" s="50"/>
      <c r="O12" s="144"/>
    </row>
    <row r="13" spans="1:15" x14ac:dyDescent="0.3">
      <c r="A13" s="15" t="s">
        <v>161</v>
      </c>
      <c r="B13" s="114">
        <v>13</v>
      </c>
      <c r="C13" s="115">
        <v>0.75</v>
      </c>
      <c r="D13" s="18">
        <f t="shared" si="0"/>
        <v>12.25</v>
      </c>
      <c r="E13" s="118">
        <v>0.06</v>
      </c>
      <c r="F13" s="20">
        <f t="shared" si="1"/>
        <v>0.78</v>
      </c>
      <c r="G13" s="18">
        <f>D13-F13</f>
        <v>11.47</v>
      </c>
      <c r="H13" s="121" t="s">
        <v>162</v>
      </c>
      <c r="I13" s="20">
        <f t="shared" si="2"/>
        <v>11.47</v>
      </c>
      <c r="J13" s="124">
        <v>5500</v>
      </c>
      <c r="K13" s="138">
        <v>5498</v>
      </c>
      <c r="L13" s="145">
        <v>5500</v>
      </c>
      <c r="M13" s="18">
        <f t="shared" si="3"/>
        <v>63062.060000000005</v>
      </c>
      <c r="N13" s="18">
        <f>L13*I13</f>
        <v>63085</v>
      </c>
      <c r="O13" s="143">
        <f>SUM(M13:N13)</f>
        <v>126147.06</v>
      </c>
    </row>
    <row r="14" spans="1:15" x14ac:dyDescent="0.3">
      <c r="A14" s="15" t="s">
        <v>164</v>
      </c>
      <c r="B14" s="114">
        <v>7.5</v>
      </c>
      <c r="C14" s="115">
        <v>0</v>
      </c>
      <c r="D14" s="18">
        <f t="shared" si="0"/>
        <v>7.5</v>
      </c>
      <c r="E14" s="118">
        <v>0.06</v>
      </c>
      <c r="F14" s="20">
        <f t="shared" si="1"/>
        <v>0.44999999999999996</v>
      </c>
      <c r="G14" s="18">
        <f>D14-F14</f>
        <v>7.05</v>
      </c>
      <c r="H14" s="121" t="s">
        <v>165</v>
      </c>
      <c r="I14" s="20">
        <f>IF(H14="Y",D14/1.2,D14)-F14</f>
        <v>5.8</v>
      </c>
      <c r="J14" s="124">
        <v>1100</v>
      </c>
      <c r="K14" s="138">
        <v>813</v>
      </c>
      <c r="L14" s="145">
        <v>734</v>
      </c>
      <c r="M14" s="18">
        <f t="shared" si="3"/>
        <v>4715.3999999999996</v>
      </c>
      <c r="N14" s="18">
        <f>L14*I14</f>
        <v>4257.2</v>
      </c>
      <c r="O14" s="143">
        <f>SUM(M14:N14)</f>
        <v>8972.5999999999985</v>
      </c>
    </row>
    <row r="15" spans="1:15" x14ac:dyDescent="0.3">
      <c r="A15" s="52" t="s">
        <v>167</v>
      </c>
      <c r="B15" s="117"/>
      <c r="C15" s="117"/>
      <c r="D15" s="50"/>
      <c r="E15" s="120"/>
      <c r="F15" s="49"/>
      <c r="G15" s="50"/>
      <c r="H15" s="123"/>
      <c r="I15" s="49"/>
      <c r="J15" s="126"/>
      <c r="K15" s="139"/>
      <c r="L15" s="125"/>
      <c r="M15" s="50"/>
      <c r="N15" s="50"/>
      <c r="O15" s="144"/>
    </row>
    <row r="16" spans="1:15" x14ac:dyDescent="0.3">
      <c r="A16" s="15" t="s">
        <v>164</v>
      </c>
      <c r="B16" s="114">
        <v>30</v>
      </c>
      <c r="C16" s="115">
        <v>1.5</v>
      </c>
      <c r="D16" s="18">
        <f t="shared" si="0"/>
        <v>28.5</v>
      </c>
      <c r="E16" s="118">
        <v>0.06</v>
      </c>
      <c r="F16" s="20">
        <f t="shared" si="1"/>
        <v>1.7999999999999998</v>
      </c>
      <c r="G16" s="18">
        <f>D16-F16</f>
        <v>26.7</v>
      </c>
      <c r="H16" s="121" t="s">
        <v>165</v>
      </c>
      <c r="I16" s="20">
        <f>IF(H16="Y",D16/1.2,D16)-F16</f>
        <v>21.95</v>
      </c>
      <c r="J16" s="124">
        <v>900</v>
      </c>
      <c r="K16" s="138">
        <v>124</v>
      </c>
      <c r="L16" s="145">
        <v>142</v>
      </c>
      <c r="M16" s="18">
        <f t="shared" si="3"/>
        <v>2721.7999999999997</v>
      </c>
      <c r="N16" s="18">
        <f>L16*I16</f>
        <v>3116.9</v>
      </c>
      <c r="O16" s="143">
        <f>SUM(M16:N16)</f>
        <v>5838.7</v>
      </c>
    </row>
    <row r="17" spans="1:15" ht="17.25" thickBot="1" x14ac:dyDescent="0.35">
      <c r="L17" s="27"/>
      <c r="M17" s="14"/>
    </row>
    <row r="18" spans="1:15" x14ac:dyDescent="0.3">
      <c r="L18" s="27"/>
      <c r="M18" s="14"/>
      <c r="N18" s="1" t="s">
        <v>168</v>
      </c>
      <c r="O18" s="169">
        <v>7821</v>
      </c>
    </row>
    <row r="19" spans="1:15" x14ac:dyDescent="0.3">
      <c r="L19" s="27"/>
      <c r="M19" s="14"/>
      <c r="N19" s="1" t="s">
        <v>169</v>
      </c>
      <c r="O19" s="170">
        <v>621</v>
      </c>
    </row>
    <row r="20" spans="1:15" x14ac:dyDescent="0.3">
      <c r="L20" s="27"/>
      <c r="M20" s="14"/>
    </row>
    <row r="21" spans="1:15" ht="17.25" customHeight="1" thickBot="1" x14ac:dyDescent="0.35">
      <c r="I21" s="57"/>
      <c r="J21" s="160" t="s">
        <v>170</v>
      </c>
      <c r="K21" s="161">
        <f>K6+K8+K11+K13</f>
        <v>23485</v>
      </c>
      <c r="L21" s="162">
        <f>L6+L8+L11+L13</f>
        <v>23688</v>
      </c>
      <c r="M21" s="181" t="s">
        <v>171</v>
      </c>
      <c r="N21" s="182"/>
      <c r="O21" s="146">
        <f>SUM(O6:O19)</f>
        <v>577737.20999999985</v>
      </c>
    </row>
    <row r="22" spans="1:15" ht="17.25" customHeight="1" thickBot="1" x14ac:dyDescent="0.35">
      <c r="I22" s="57"/>
      <c r="J22" s="163" t="s">
        <v>172</v>
      </c>
      <c r="K22" s="164">
        <f>K9+K14</f>
        <v>1935</v>
      </c>
      <c r="L22" s="165">
        <f>L9+L14</f>
        <v>1924</v>
      </c>
      <c r="M22" s="173"/>
      <c r="N22" s="173"/>
      <c r="O22" s="166"/>
    </row>
    <row r="23" spans="1:15" x14ac:dyDescent="0.3">
      <c r="J23" s="113"/>
      <c r="K23" s="113"/>
      <c r="L23" s="27"/>
      <c r="M23" s="14"/>
    </row>
    <row r="24" spans="1:15" ht="23.25" customHeight="1" x14ac:dyDescent="0.35">
      <c r="A24" s="152" t="s">
        <v>173</v>
      </c>
      <c r="B24" s="152"/>
      <c r="C24" s="153" t="s">
        <v>174</v>
      </c>
      <c r="D24" s="167">
        <v>0.87</v>
      </c>
      <c r="E24" s="152" t="s">
        <v>175</v>
      </c>
      <c r="F24" s="167">
        <v>0.59499999999999997</v>
      </c>
      <c r="G24" s="152"/>
      <c r="H24" s="152" t="s">
        <v>176</v>
      </c>
      <c r="I24" s="152"/>
      <c r="J24" s="167">
        <v>0.1</v>
      </c>
      <c r="K24" s="152"/>
      <c r="L24" s="152"/>
      <c r="M24" s="152"/>
      <c r="N24" s="152"/>
      <c r="O24" s="152"/>
    </row>
    <row r="25" spans="1:15" ht="61.5" customHeight="1" x14ac:dyDescent="0.3">
      <c r="A25" s="2" t="s">
        <v>4</v>
      </c>
      <c r="B25" s="3" t="s">
        <v>145</v>
      </c>
      <c r="C25" s="3" t="s">
        <v>146</v>
      </c>
      <c r="D25" s="44" t="s">
        <v>147</v>
      </c>
      <c r="E25" s="56" t="s">
        <v>148</v>
      </c>
      <c r="F25" s="44" t="s">
        <v>149</v>
      </c>
      <c r="G25" s="44" t="s">
        <v>150</v>
      </c>
      <c r="H25" s="47" t="s">
        <v>151</v>
      </c>
      <c r="I25" s="3" t="s">
        <v>152</v>
      </c>
      <c r="J25" s="51" t="s">
        <v>153</v>
      </c>
      <c r="K25" s="136" t="s">
        <v>177</v>
      </c>
      <c r="L25" s="51" t="s">
        <v>178</v>
      </c>
      <c r="M25" s="44" t="s">
        <v>179</v>
      </c>
      <c r="N25" s="37"/>
      <c r="O25" s="140"/>
    </row>
    <row r="26" spans="1:15" x14ac:dyDescent="0.3">
      <c r="A26" s="52" t="s">
        <v>159</v>
      </c>
      <c r="B26" s="50"/>
      <c r="C26" s="50"/>
      <c r="D26" s="50"/>
      <c r="E26" s="53"/>
      <c r="F26" s="50"/>
      <c r="G26" s="50"/>
      <c r="H26" s="54"/>
      <c r="I26" s="50"/>
      <c r="J26" s="55"/>
      <c r="K26" s="137"/>
      <c r="L26" s="137"/>
      <c r="M26" s="49"/>
    </row>
    <row r="27" spans="1:15" x14ac:dyDescent="0.3">
      <c r="A27" s="52" t="s">
        <v>160</v>
      </c>
      <c r="B27" s="50"/>
      <c r="C27" s="50"/>
      <c r="D27" s="50"/>
      <c r="E27" s="53"/>
      <c r="F27" s="50"/>
      <c r="G27" s="50"/>
      <c r="H27" s="54"/>
      <c r="I27" s="50"/>
      <c r="J27" s="55"/>
      <c r="K27" s="137"/>
      <c r="L27" s="137"/>
      <c r="M27" s="49"/>
    </row>
    <row r="28" spans="1:15" x14ac:dyDescent="0.3">
      <c r="A28" s="15" t="s">
        <v>161</v>
      </c>
      <c r="B28" s="114">
        <v>13</v>
      </c>
      <c r="C28" s="115">
        <v>0.75</v>
      </c>
      <c r="D28" s="18">
        <f>B28-C28</f>
        <v>12.25</v>
      </c>
      <c r="E28" s="118">
        <v>0.06</v>
      </c>
      <c r="F28" s="20">
        <f>B28*E28</f>
        <v>0.78</v>
      </c>
      <c r="G28" s="18">
        <f>D28-F28</f>
        <v>11.47</v>
      </c>
      <c r="H28" s="121" t="s">
        <v>162</v>
      </c>
      <c r="I28" s="20">
        <f>IF(H28="Y",G28/1.2,G28)</f>
        <v>11.47</v>
      </c>
      <c r="J28" s="124">
        <v>12000</v>
      </c>
      <c r="K28" s="150">
        <f>J28*I28</f>
        <v>137640</v>
      </c>
      <c r="L28" s="168">
        <f>K28*$D$24</f>
        <v>119746.8</v>
      </c>
      <c r="M28" s="155">
        <f>L28*2</f>
        <v>239493.6</v>
      </c>
    </row>
    <row r="29" spans="1:15" x14ac:dyDescent="0.3">
      <c r="A29" s="52" t="s">
        <v>180</v>
      </c>
      <c r="B29" s="116"/>
      <c r="C29" s="117"/>
      <c r="D29" s="50"/>
      <c r="E29" s="119"/>
      <c r="F29" s="49"/>
      <c r="G29" s="50"/>
      <c r="H29" s="122"/>
      <c r="I29" s="49"/>
      <c r="J29" s="125"/>
      <c r="K29" s="151"/>
      <c r="L29" s="116"/>
      <c r="M29" s="50"/>
    </row>
    <row r="30" spans="1:15" x14ac:dyDescent="0.3">
      <c r="A30" s="15" t="s">
        <v>161</v>
      </c>
      <c r="B30" s="114">
        <v>13</v>
      </c>
      <c r="C30" s="115">
        <v>0.75</v>
      </c>
      <c r="D30" s="18">
        <f t="shared" ref="D30:D31" si="4">B30-C30</f>
        <v>12.25</v>
      </c>
      <c r="E30" s="118">
        <v>0.06</v>
      </c>
      <c r="F30" s="20">
        <f t="shared" ref="F30:F31" si="5">B30*E30</f>
        <v>0.78</v>
      </c>
      <c r="G30" s="18">
        <f>D30-F30</f>
        <v>11.47</v>
      </c>
      <c r="H30" s="121" t="s">
        <v>162</v>
      </c>
      <c r="I30" s="20">
        <f t="shared" ref="I30" si="6">IF(H30="Y",G30/1.2,G30)</f>
        <v>11.47</v>
      </c>
      <c r="J30" s="124">
        <v>4500</v>
      </c>
      <c r="K30" s="150">
        <f t="shared" ref="K30:K31" si="7">J30*I30</f>
        <v>51615</v>
      </c>
      <c r="L30" s="168">
        <f>K30*$D$24</f>
        <v>44905.05</v>
      </c>
      <c r="M30" s="155">
        <f t="shared" ref="M30:M38" si="8">L30*2</f>
        <v>89810.1</v>
      </c>
    </row>
    <row r="31" spans="1:15" x14ac:dyDescent="0.3">
      <c r="A31" s="15" t="s">
        <v>164</v>
      </c>
      <c r="B31" s="114">
        <v>7.5</v>
      </c>
      <c r="C31" s="115">
        <v>0</v>
      </c>
      <c r="D31" s="18">
        <f t="shared" si="4"/>
        <v>7.5</v>
      </c>
      <c r="E31" s="118">
        <v>0.06</v>
      </c>
      <c r="F31" s="20">
        <f t="shared" si="5"/>
        <v>0.44999999999999996</v>
      </c>
      <c r="G31" s="18">
        <f>D31-F31</f>
        <v>7.05</v>
      </c>
      <c r="H31" s="121" t="s">
        <v>165</v>
      </c>
      <c r="I31" s="20">
        <f>IF(H31="Y",D31/1.2,D31)-F31</f>
        <v>5.8</v>
      </c>
      <c r="J31" s="124">
        <v>1900</v>
      </c>
      <c r="K31" s="150">
        <f t="shared" si="7"/>
        <v>11020</v>
      </c>
      <c r="L31" s="168">
        <f>K31*$F$24</f>
        <v>6556.9</v>
      </c>
      <c r="M31" s="155">
        <f t="shared" si="8"/>
        <v>13113.8</v>
      </c>
    </row>
    <row r="32" spans="1:15" x14ac:dyDescent="0.3">
      <c r="A32" s="52" t="s">
        <v>138</v>
      </c>
      <c r="B32" s="116"/>
      <c r="C32" s="117"/>
      <c r="D32" s="50"/>
      <c r="E32" s="119"/>
      <c r="F32" s="49"/>
      <c r="G32" s="50"/>
      <c r="H32" s="122"/>
      <c r="I32" s="49"/>
      <c r="J32" s="125"/>
      <c r="K32" s="151"/>
      <c r="L32" s="116"/>
      <c r="M32" s="50"/>
    </row>
    <row r="33" spans="1:13" x14ac:dyDescent="0.3">
      <c r="A33" s="15" t="s">
        <v>161</v>
      </c>
      <c r="B33" s="114">
        <v>13</v>
      </c>
      <c r="C33" s="115">
        <v>0.75</v>
      </c>
      <c r="D33" s="18">
        <f t="shared" ref="D33" si="9">B33-C33</f>
        <v>12.25</v>
      </c>
      <c r="E33" s="118">
        <v>0.06</v>
      </c>
      <c r="F33" s="20">
        <f t="shared" ref="F33" si="10">B33*E33</f>
        <v>0.78</v>
      </c>
      <c r="G33" s="18">
        <f>D33-F33</f>
        <v>11.47</v>
      </c>
      <c r="H33" s="121" t="s">
        <v>162</v>
      </c>
      <c r="I33" s="20">
        <f t="shared" ref="I33" si="11">IF(H33="Y",G33/1.2,G33)</f>
        <v>11.47</v>
      </c>
      <c r="J33" s="124">
        <v>3000</v>
      </c>
      <c r="K33" s="150">
        <f t="shared" ref="K33" si="12">J33*I33</f>
        <v>34410</v>
      </c>
      <c r="L33" s="168">
        <f>K33*$D$24</f>
        <v>29936.7</v>
      </c>
      <c r="M33" s="155">
        <f t="shared" si="8"/>
        <v>59873.4</v>
      </c>
    </row>
    <row r="34" spans="1:13" x14ac:dyDescent="0.3">
      <c r="A34" s="52" t="s">
        <v>166</v>
      </c>
      <c r="B34" s="116"/>
      <c r="C34" s="117"/>
      <c r="D34" s="50"/>
      <c r="E34" s="119"/>
      <c r="F34" s="49"/>
      <c r="G34" s="50"/>
      <c r="H34" s="122"/>
      <c r="I34" s="49"/>
      <c r="J34" s="125"/>
      <c r="K34" s="151"/>
      <c r="L34" s="116"/>
      <c r="M34" s="50"/>
    </row>
    <row r="35" spans="1:13" x14ac:dyDescent="0.3">
      <c r="A35" s="15" t="s">
        <v>161</v>
      </c>
      <c r="B35" s="114">
        <v>13</v>
      </c>
      <c r="C35" s="115">
        <v>0.75</v>
      </c>
      <c r="D35" s="18">
        <f t="shared" ref="D35:D36" si="13">B35-C35</f>
        <v>12.25</v>
      </c>
      <c r="E35" s="118">
        <v>0.06</v>
      </c>
      <c r="F35" s="20">
        <f t="shared" ref="F35:F36" si="14">B35*E35</f>
        <v>0.78</v>
      </c>
      <c r="G35" s="18">
        <f>D35-F35</f>
        <v>11.47</v>
      </c>
      <c r="H35" s="121" t="s">
        <v>162</v>
      </c>
      <c r="I35" s="20">
        <f t="shared" ref="I35" si="15">IF(H35="Y",G35/1.2,G35)</f>
        <v>11.47</v>
      </c>
      <c r="J35" s="124">
        <v>5500</v>
      </c>
      <c r="K35" s="150">
        <f t="shared" ref="K35:K36" si="16">J35*I35</f>
        <v>63085</v>
      </c>
      <c r="L35" s="168">
        <f>K35*$D$24</f>
        <v>54883.95</v>
      </c>
      <c r="M35" s="155">
        <f t="shared" si="8"/>
        <v>109767.9</v>
      </c>
    </row>
    <row r="36" spans="1:13" x14ac:dyDescent="0.3">
      <c r="A36" s="15" t="s">
        <v>164</v>
      </c>
      <c r="B36" s="114">
        <v>7.5</v>
      </c>
      <c r="C36" s="115">
        <v>0</v>
      </c>
      <c r="D36" s="18">
        <f t="shared" si="13"/>
        <v>7.5</v>
      </c>
      <c r="E36" s="118">
        <v>0.06</v>
      </c>
      <c r="F36" s="20">
        <f t="shared" si="14"/>
        <v>0.44999999999999996</v>
      </c>
      <c r="G36" s="18">
        <f>D36-F36</f>
        <v>7.05</v>
      </c>
      <c r="H36" s="121" t="s">
        <v>165</v>
      </c>
      <c r="I36" s="20">
        <f>IF(H36="Y",D36/1.2,D36)-F36</f>
        <v>5.8</v>
      </c>
      <c r="J36" s="124">
        <v>1100</v>
      </c>
      <c r="K36" s="150">
        <f t="shared" si="16"/>
        <v>6380</v>
      </c>
      <c r="L36" s="168">
        <f>K36*$F$24</f>
        <v>3796.1</v>
      </c>
      <c r="M36" s="155">
        <f t="shared" si="8"/>
        <v>7592.2</v>
      </c>
    </row>
    <row r="37" spans="1:13" x14ac:dyDescent="0.3">
      <c r="A37" s="52" t="s">
        <v>167</v>
      </c>
      <c r="B37" s="117"/>
      <c r="C37" s="117"/>
      <c r="D37" s="50"/>
      <c r="E37" s="120"/>
      <c r="F37" s="49"/>
      <c r="G37" s="50"/>
      <c r="H37" s="123"/>
      <c r="I37" s="49"/>
      <c r="J37" s="126"/>
      <c r="K37" s="151"/>
      <c r="L37" s="116"/>
      <c r="M37" s="50"/>
    </row>
    <row r="38" spans="1:13" x14ac:dyDescent="0.3">
      <c r="A38" s="15" t="s">
        <v>164</v>
      </c>
      <c r="B38" s="114">
        <v>30</v>
      </c>
      <c r="C38" s="115">
        <v>1.5</v>
      </c>
      <c r="D38" s="18">
        <f t="shared" ref="D38" si="17">B38-C38</f>
        <v>28.5</v>
      </c>
      <c r="E38" s="118">
        <v>0.06</v>
      </c>
      <c r="F38" s="20">
        <f t="shared" ref="F38" si="18">B38*E38</f>
        <v>1.7999999999999998</v>
      </c>
      <c r="G38" s="18">
        <f>D38-F38</f>
        <v>26.7</v>
      </c>
      <c r="H38" s="121" t="s">
        <v>165</v>
      </c>
      <c r="I38" s="20">
        <f>IF(H38="Y",D38/1.2,D38)-F38</f>
        <v>21.95</v>
      </c>
      <c r="J38" s="124">
        <v>900</v>
      </c>
      <c r="K38" s="150">
        <f t="shared" ref="K38" si="19">J38*I38</f>
        <v>19755</v>
      </c>
      <c r="L38" s="168">
        <f>K38*$J$24</f>
        <v>1975.5</v>
      </c>
      <c r="M38" s="155">
        <f t="shared" si="8"/>
        <v>3951</v>
      </c>
    </row>
    <row r="39" spans="1:13" ht="17.25" thickBot="1" x14ac:dyDescent="0.35">
      <c r="L39" s="27"/>
      <c r="M39" s="14"/>
    </row>
    <row r="40" spans="1:13" ht="17.25" customHeight="1" thickBot="1" x14ac:dyDescent="0.35">
      <c r="K40" s="183" t="s">
        <v>179</v>
      </c>
      <c r="L40" s="184"/>
      <c r="M40" s="154">
        <f>SUM(M28:M38)</f>
        <v>523602.00000000006</v>
      </c>
    </row>
    <row r="41" spans="1:13" ht="17.25" thickBot="1" x14ac:dyDescent="0.35"/>
    <row r="42" spans="1:13" ht="17.25" customHeight="1" thickBot="1" x14ac:dyDescent="0.35">
      <c r="K42" s="183" t="s">
        <v>181</v>
      </c>
      <c r="L42" s="183"/>
      <c r="M42" s="147">
        <f>M40-O21</f>
        <v>-54135.209999999788</v>
      </c>
    </row>
  </sheetData>
  <sheetProtection selectLockedCells="1"/>
  <mergeCells count="3">
    <mergeCell ref="M21:N21"/>
    <mergeCell ref="K40:L40"/>
    <mergeCell ref="K42:L4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G16"/>
  <sheetViews>
    <sheetView workbookViewId="0">
      <selection activeCell="E19" sqref="E19"/>
    </sheetView>
  </sheetViews>
  <sheetFormatPr defaultColWidth="8.85546875" defaultRowHeight="16.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  <col min="6" max="6" width="8.85546875" style="1"/>
  </cols>
  <sheetData>
    <row r="1" spans="1:7" ht="22.5" customHeight="1" x14ac:dyDescent="0.3">
      <c r="A1" s="6" t="s">
        <v>182</v>
      </c>
      <c r="B1" s="10"/>
      <c r="C1" s="7"/>
      <c r="D1" s="7"/>
      <c r="E1" s="5"/>
      <c r="F1" s="37"/>
    </row>
    <row r="2" spans="1:7" x14ac:dyDescent="0.3">
      <c r="A2" s="1"/>
      <c r="B2" s="4"/>
      <c r="C2" s="9"/>
      <c r="D2" s="9"/>
      <c r="E2" s="4"/>
    </row>
    <row r="3" spans="1:7" ht="22.5" customHeight="1" x14ac:dyDescent="0.3">
      <c r="A3" s="2" t="s">
        <v>4</v>
      </c>
      <c r="B3" s="11" t="s">
        <v>183</v>
      </c>
      <c r="C3" s="8" t="s">
        <v>6</v>
      </c>
      <c r="D3" s="8" t="s">
        <v>184</v>
      </c>
      <c r="E3" s="3" t="s">
        <v>185</v>
      </c>
    </row>
    <row r="4" spans="1:7" x14ac:dyDescent="0.3">
      <c r="A4" s="17" t="s">
        <v>186</v>
      </c>
      <c r="B4" s="18"/>
      <c r="C4" s="19"/>
      <c r="D4" s="19"/>
      <c r="E4" s="20"/>
    </row>
    <row r="5" spans="1:7" s="1" customFormat="1" x14ac:dyDescent="0.3">
      <c r="A5" s="15" t="s">
        <v>187</v>
      </c>
      <c r="B5" s="14">
        <v>4850</v>
      </c>
      <c r="C5" s="16">
        <v>1</v>
      </c>
      <c r="D5" s="16">
        <v>1</v>
      </c>
      <c r="E5" s="14">
        <f>B5*C5*D5</f>
        <v>4850</v>
      </c>
    </row>
    <row r="6" spans="1:7" s="1" customFormat="1" x14ac:dyDescent="0.3">
      <c r="A6" s="15" t="s">
        <v>188</v>
      </c>
      <c r="B6" s="14">
        <v>9400</v>
      </c>
      <c r="C6" s="16">
        <v>1</v>
      </c>
      <c r="D6" s="16">
        <v>1</v>
      </c>
      <c r="E6" s="14">
        <f>B6*C6*D6</f>
        <v>9400</v>
      </c>
    </row>
    <row r="7" spans="1:7" s="1" customFormat="1" x14ac:dyDescent="0.3">
      <c r="A7" s="15" t="s">
        <v>189</v>
      </c>
      <c r="B7" s="14">
        <v>5510</v>
      </c>
      <c r="C7" s="16">
        <v>1</v>
      </c>
      <c r="D7" s="16">
        <v>1</v>
      </c>
      <c r="E7" s="14">
        <f t="shared" ref="E7:E14" si="0">B7*C7*D7</f>
        <v>5510</v>
      </c>
    </row>
    <row r="8" spans="1:7" s="1" customFormat="1" x14ac:dyDescent="0.3">
      <c r="A8" s="17" t="s">
        <v>190</v>
      </c>
      <c r="B8" s="20"/>
      <c r="C8" s="21"/>
      <c r="D8" s="21"/>
      <c r="E8" s="20"/>
    </row>
    <row r="9" spans="1:7" s="1" customFormat="1" x14ac:dyDescent="0.3">
      <c r="A9" s="15" t="s">
        <v>191</v>
      </c>
      <c r="B9" s="14">
        <v>5000</v>
      </c>
      <c r="C9" s="16">
        <v>1</v>
      </c>
      <c r="D9" s="16">
        <v>1</v>
      </c>
      <c r="E9" s="14">
        <f t="shared" si="0"/>
        <v>5000</v>
      </c>
    </row>
    <row r="10" spans="1:7" s="1" customFormat="1" x14ac:dyDescent="0.3">
      <c r="A10" s="15" t="s">
        <v>192</v>
      </c>
      <c r="B10" s="14">
        <v>5000</v>
      </c>
      <c r="C10" s="16">
        <v>1</v>
      </c>
      <c r="D10" s="16">
        <v>1</v>
      </c>
      <c r="E10" s="14">
        <f t="shared" si="0"/>
        <v>5000</v>
      </c>
    </row>
    <row r="11" spans="1:7" s="1" customFormat="1" x14ac:dyDescent="0.3">
      <c r="A11" s="17" t="s">
        <v>193</v>
      </c>
      <c r="B11" s="20"/>
      <c r="C11" s="21"/>
      <c r="D11" s="21"/>
      <c r="E11" s="20"/>
    </row>
    <row r="12" spans="1:7" s="1" customFormat="1" ht="17.25" x14ac:dyDescent="0.35">
      <c r="A12" s="15" t="s">
        <v>194</v>
      </c>
      <c r="B12" s="14">
        <v>71000</v>
      </c>
      <c r="C12" s="16">
        <v>1</v>
      </c>
      <c r="D12" s="16">
        <v>1</v>
      </c>
      <c r="E12" s="14">
        <f t="shared" si="0"/>
        <v>71000</v>
      </c>
      <c r="F12" s="38"/>
    </row>
    <row r="13" spans="1:7" s="1" customFormat="1" ht="17.25" x14ac:dyDescent="0.35">
      <c r="A13" s="15" t="s">
        <v>195</v>
      </c>
      <c r="B13" s="14">
        <v>4000</v>
      </c>
      <c r="C13" s="16">
        <v>1</v>
      </c>
      <c r="D13" s="16">
        <v>1</v>
      </c>
      <c r="E13" s="14">
        <f t="shared" si="0"/>
        <v>4000</v>
      </c>
      <c r="F13" s="38"/>
      <c r="G13" s="1" t="s">
        <v>196</v>
      </c>
    </row>
    <row r="14" spans="1:7" s="1" customFormat="1" x14ac:dyDescent="0.3">
      <c r="A14" s="15" t="s">
        <v>197</v>
      </c>
      <c r="B14" s="14">
        <v>12000</v>
      </c>
      <c r="C14" s="16">
        <v>1</v>
      </c>
      <c r="D14" s="16">
        <v>1</v>
      </c>
      <c r="E14" s="14">
        <f t="shared" si="0"/>
        <v>12000</v>
      </c>
    </row>
    <row r="16" spans="1:7" s="1" customFormat="1" x14ac:dyDescent="0.3">
      <c r="A16" s="15"/>
      <c r="B16" s="14"/>
      <c r="C16" s="16"/>
      <c r="D16" s="23" t="s">
        <v>198</v>
      </c>
      <c r="E16" s="24">
        <f>SUM(E5:E15)</f>
        <v>116760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16"/>
  <sheetViews>
    <sheetView workbookViewId="0">
      <selection activeCell="F17" sqref="F17"/>
    </sheetView>
  </sheetViews>
  <sheetFormatPr defaultColWidth="8.85546875" defaultRowHeight="15.7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 x14ac:dyDescent="0.3">
      <c r="A1" s="6" t="s">
        <v>199</v>
      </c>
      <c r="B1" s="10"/>
      <c r="C1" s="7"/>
      <c r="D1" s="7"/>
      <c r="E1" s="5"/>
    </row>
    <row r="2" spans="1:5" ht="16.5" x14ac:dyDescent="0.3">
      <c r="A2" s="1"/>
      <c r="B2" s="4"/>
      <c r="C2" s="9"/>
      <c r="D2" s="9"/>
      <c r="E2" s="4"/>
    </row>
    <row r="3" spans="1:5" ht="22.5" customHeight="1" x14ac:dyDescent="0.25">
      <c r="A3" s="2" t="s">
        <v>4</v>
      </c>
      <c r="B3" s="11" t="s">
        <v>183</v>
      </c>
      <c r="C3" s="8" t="s">
        <v>6</v>
      </c>
      <c r="D3" s="8" t="s">
        <v>184</v>
      </c>
      <c r="E3" s="3" t="s">
        <v>185</v>
      </c>
    </row>
    <row r="4" spans="1:5" x14ac:dyDescent="0.3">
      <c r="A4" s="17" t="s">
        <v>200</v>
      </c>
      <c r="B4" s="20"/>
      <c r="C4" s="21"/>
      <c r="D4" s="21"/>
      <c r="E4" s="20"/>
    </row>
    <row r="5" spans="1:5" x14ac:dyDescent="0.3">
      <c r="A5" s="15" t="s">
        <v>201</v>
      </c>
      <c r="B5" s="14">
        <v>2211</v>
      </c>
      <c r="C5" s="16">
        <v>1</v>
      </c>
      <c r="D5" s="16">
        <v>1</v>
      </c>
      <c r="E5" s="14">
        <f t="shared" ref="E5:E14" si="0">B5*C5*D5</f>
        <v>2211</v>
      </c>
    </row>
    <row r="6" spans="1:5" x14ac:dyDescent="0.3">
      <c r="A6" s="15" t="s">
        <v>202</v>
      </c>
      <c r="B6" s="14">
        <v>1200</v>
      </c>
      <c r="C6" s="16">
        <v>1</v>
      </c>
      <c r="D6" s="16">
        <v>1</v>
      </c>
      <c r="E6" s="14">
        <f t="shared" si="0"/>
        <v>1200</v>
      </c>
    </row>
    <row r="7" spans="1:5" x14ac:dyDescent="0.3">
      <c r="A7" s="15" t="s">
        <v>203</v>
      </c>
      <c r="B7" s="14">
        <v>300</v>
      </c>
      <c r="C7" s="16">
        <v>2</v>
      </c>
      <c r="D7" s="16">
        <v>1</v>
      </c>
      <c r="E7" s="14">
        <f t="shared" si="0"/>
        <v>600</v>
      </c>
    </row>
    <row r="8" spans="1:5" x14ac:dyDescent="0.3">
      <c r="A8" s="15" t="s">
        <v>204</v>
      </c>
      <c r="B8" s="14">
        <v>100</v>
      </c>
      <c r="C8" s="16">
        <v>5</v>
      </c>
      <c r="D8" s="16">
        <v>1</v>
      </c>
      <c r="E8" s="14">
        <f t="shared" si="0"/>
        <v>500</v>
      </c>
    </row>
    <row r="9" spans="1:5" x14ac:dyDescent="0.3">
      <c r="C9" s="16">
        <v>1</v>
      </c>
      <c r="D9" s="16">
        <v>1</v>
      </c>
      <c r="E9" s="14">
        <f t="shared" si="0"/>
        <v>0</v>
      </c>
    </row>
    <row r="10" spans="1:5" x14ac:dyDescent="0.3">
      <c r="C10" s="16">
        <v>1</v>
      </c>
      <c r="D10" s="16">
        <v>1</v>
      </c>
      <c r="E10" s="14">
        <f t="shared" si="0"/>
        <v>0</v>
      </c>
    </row>
    <row r="11" spans="1:5" x14ac:dyDescent="0.3">
      <c r="C11" s="16">
        <v>1</v>
      </c>
      <c r="D11" s="16">
        <v>1</v>
      </c>
      <c r="E11" s="14">
        <f t="shared" si="0"/>
        <v>0</v>
      </c>
    </row>
    <row r="12" spans="1:5" x14ac:dyDescent="0.3">
      <c r="C12" s="16">
        <v>1</v>
      </c>
      <c r="D12" s="16">
        <v>1</v>
      </c>
      <c r="E12" s="14">
        <f t="shared" si="0"/>
        <v>0</v>
      </c>
    </row>
    <row r="13" spans="1:5" x14ac:dyDescent="0.3">
      <c r="C13" s="16">
        <v>1</v>
      </c>
      <c r="D13" s="16">
        <v>1</v>
      </c>
      <c r="E13" s="14">
        <f t="shared" si="0"/>
        <v>0</v>
      </c>
    </row>
    <row r="14" spans="1:5" x14ac:dyDescent="0.3">
      <c r="C14" s="16">
        <v>1</v>
      </c>
      <c r="D14" s="16">
        <v>1</v>
      </c>
      <c r="E14" s="14">
        <f t="shared" si="0"/>
        <v>0</v>
      </c>
    </row>
    <row r="16" spans="1:5" ht="16.5" x14ac:dyDescent="0.3">
      <c r="D16" s="23" t="s">
        <v>198</v>
      </c>
      <c r="E16" s="24">
        <f>SUM(E4:E15)</f>
        <v>4511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27"/>
  <sheetViews>
    <sheetView topLeftCell="A4" workbookViewId="0">
      <selection activeCell="I20" sqref="I20"/>
    </sheetView>
  </sheetViews>
  <sheetFormatPr defaultColWidth="8.85546875" defaultRowHeight="15.7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 x14ac:dyDescent="0.3">
      <c r="A1" s="6" t="s">
        <v>205</v>
      </c>
      <c r="B1" s="10"/>
      <c r="C1" s="7"/>
      <c r="D1" s="7"/>
      <c r="E1" s="5"/>
    </row>
    <row r="2" spans="1:5" ht="16.5" x14ac:dyDescent="0.3">
      <c r="A2" s="1"/>
      <c r="B2" s="4"/>
      <c r="C2" s="9"/>
      <c r="D2" s="9"/>
      <c r="E2" s="4"/>
    </row>
    <row r="3" spans="1:5" ht="22.5" customHeight="1" x14ac:dyDescent="0.25">
      <c r="A3" s="2" t="s">
        <v>4</v>
      </c>
      <c r="B3" s="11" t="s">
        <v>183</v>
      </c>
      <c r="C3" s="8" t="s">
        <v>6</v>
      </c>
      <c r="D3" s="8" t="s">
        <v>184</v>
      </c>
      <c r="E3" s="3" t="s">
        <v>185</v>
      </c>
    </row>
    <row r="4" spans="1:5" x14ac:dyDescent="0.3">
      <c r="A4" s="17" t="s">
        <v>206</v>
      </c>
      <c r="B4" s="18"/>
      <c r="C4" s="19"/>
      <c r="D4" s="19"/>
      <c r="E4" s="20"/>
    </row>
    <row r="5" spans="1:5" x14ac:dyDescent="0.3">
      <c r="A5" s="15" t="s">
        <v>207</v>
      </c>
      <c r="E5" s="14">
        <f>B5*C5*D5</f>
        <v>0</v>
      </c>
    </row>
    <row r="6" spans="1:5" x14ac:dyDescent="0.3">
      <c r="A6" s="15" t="s">
        <v>208</v>
      </c>
      <c r="E6" s="14">
        <f t="shared" ref="E6:E25" si="0">B6*C6*D6</f>
        <v>0</v>
      </c>
    </row>
    <row r="7" spans="1:5" x14ac:dyDescent="0.3">
      <c r="A7" s="17" t="s">
        <v>209</v>
      </c>
      <c r="B7" s="20"/>
      <c r="C7" s="21"/>
      <c r="D7" s="21"/>
      <c r="E7" s="20"/>
    </row>
    <row r="8" spans="1:5" x14ac:dyDescent="0.3">
      <c r="A8" s="15" t="s">
        <v>210</v>
      </c>
      <c r="E8" s="14">
        <f t="shared" si="0"/>
        <v>0</v>
      </c>
    </row>
    <row r="9" spans="1:5" x14ac:dyDescent="0.3">
      <c r="A9" s="15" t="s">
        <v>211</v>
      </c>
      <c r="E9" s="14">
        <f t="shared" si="0"/>
        <v>0</v>
      </c>
    </row>
    <row r="10" spans="1:5" x14ac:dyDescent="0.3">
      <c r="A10" s="15" t="s">
        <v>212</v>
      </c>
      <c r="E10" s="14">
        <f t="shared" si="0"/>
        <v>0</v>
      </c>
    </row>
    <row r="11" spans="1:5" x14ac:dyDescent="0.3">
      <c r="A11" s="15" t="s">
        <v>213</v>
      </c>
      <c r="E11" s="14">
        <f t="shared" si="0"/>
        <v>0</v>
      </c>
    </row>
    <row r="12" spans="1:5" x14ac:dyDescent="0.3">
      <c r="A12" s="15" t="s">
        <v>214</v>
      </c>
      <c r="E12" s="14">
        <f t="shared" si="0"/>
        <v>0</v>
      </c>
    </row>
    <row r="13" spans="1:5" x14ac:dyDescent="0.3">
      <c r="A13" s="17" t="s">
        <v>200</v>
      </c>
      <c r="B13" s="20"/>
      <c r="C13" s="21"/>
      <c r="D13" s="21"/>
      <c r="E13" s="20"/>
    </row>
    <row r="14" spans="1:5" x14ac:dyDescent="0.3">
      <c r="A14" s="15" t="s">
        <v>215</v>
      </c>
      <c r="B14" s="14">
        <v>23688</v>
      </c>
      <c r="C14" s="16">
        <v>1</v>
      </c>
      <c r="D14" s="16">
        <v>1</v>
      </c>
      <c r="E14" s="14">
        <f t="shared" si="0"/>
        <v>23688</v>
      </c>
    </row>
    <row r="15" spans="1:5" x14ac:dyDescent="0.3">
      <c r="A15" s="15" t="s">
        <v>216</v>
      </c>
      <c r="B15" s="14">
        <v>0</v>
      </c>
      <c r="C15" s="16">
        <v>1</v>
      </c>
      <c r="D15" s="16">
        <v>1</v>
      </c>
      <c r="E15" s="14">
        <f t="shared" si="0"/>
        <v>0</v>
      </c>
    </row>
    <row r="16" spans="1:5" x14ac:dyDescent="0.3">
      <c r="A16" s="15" t="s">
        <v>217</v>
      </c>
      <c r="B16" s="14">
        <v>53664</v>
      </c>
      <c r="C16" s="16">
        <v>1</v>
      </c>
      <c r="D16" s="16">
        <v>1</v>
      </c>
      <c r="E16" s="14">
        <f t="shared" si="0"/>
        <v>53664</v>
      </c>
    </row>
    <row r="17" spans="1:5" x14ac:dyDescent="0.3">
      <c r="A17" s="15" t="s">
        <v>218</v>
      </c>
      <c r="B17" s="14">
        <v>1500</v>
      </c>
      <c r="C17" s="16">
        <v>1</v>
      </c>
      <c r="D17" s="16">
        <v>1</v>
      </c>
      <c r="E17" s="14">
        <f t="shared" si="0"/>
        <v>1500</v>
      </c>
    </row>
    <row r="18" spans="1:5" x14ac:dyDescent="0.3">
      <c r="A18" s="15" t="s">
        <v>219</v>
      </c>
      <c r="B18" s="14">
        <v>6490</v>
      </c>
      <c r="C18" s="16">
        <v>1</v>
      </c>
      <c r="D18" s="16">
        <v>1</v>
      </c>
      <c r="E18" s="14">
        <f t="shared" si="0"/>
        <v>6490</v>
      </c>
    </row>
    <row r="19" spans="1:5" x14ac:dyDescent="0.3">
      <c r="A19" s="15" t="s">
        <v>220</v>
      </c>
      <c r="B19" s="14">
        <v>608</v>
      </c>
      <c r="C19" s="16">
        <v>1</v>
      </c>
      <c r="D19" s="16">
        <v>1</v>
      </c>
      <c r="E19" s="14">
        <f t="shared" si="0"/>
        <v>608</v>
      </c>
    </row>
    <row r="20" spans="1:5" x14ac:dyDescent="0.3">
      <c r="A20" s="15" t="s">
        <v>221</v>
      </c>
      <c r="B20" s="14">
        <v>2110</v>
      </c>
      <c r="C20" s="16">
        <v>1</v>
      </c>
      <c r="D20" s="16">
        <v>1</v>
      </c>
      <c r="E20" s="14">
        <f t="shared" si="0"/>
        <v>2110</v>
      </c>
    </row>
    <row r="21" spans="1:5" x14ac:dyDescent="0.3">
      <c r="A21" s="15" t="s">
        <v>222</v>
      </c>
      <c r="B21" s="14">
        <v>0</v>
      </c>
      <c r="C21" s="16">
        <v>1</v>
      </c>
      <c r="D21" s="16">
        <v>1</v>
      </c>
      <c r="E21" s="14">
        <f t="shared" si="0"/>
        <v>0</v>
      </c>
    </row>
    <row r="22" spans="1:5" x14ac:dyDescent="0.3">
      <c r="A22" s="15" t="s">
        <v>223</v>
      </c>
      <c r="B22" s="14">
        <v>1000</v>
      </c>
      <c r="C22" s="16">
        <v>1</v>
      </c>
      <c r="D22" s="16">
        <v>1</v>
      </c>
      <c r="E22" s="14">
        <f t="shared" si="0"/>
        <v>1000</v>
      </c>
    </row>
    <row r="23" spans="1:5" x14ac:dyDescent="0.3">
      <c r="A23" s="15" t="s">
        <v>224</v>
      </c>
      <c r="B23" s="14">
        <v>100</v>
      </c>
      <c r="C23" s="16">
        <v>1</v>
      </c>
      <c r="D23" s="16">
        <v>1</v>
      </c>
      <c r="E23" s="14">
        <f t="shared" si="0"/>
        <v>100</v>
      </c>
    </row>
    <row r="24" spans="1:5" x14ac:dyDescent="0.3">
      <c r="A24" s="15" t="s">
        <v>225</v>
      </c>
      <c r="B24" s="14">
        <v>1278</v>
      </c>
      <c r="C24" s="16">
        <v>1</v>
      </c>
      <c r="D24" s="16">
        <v>1</v>
      </c>
      <c r="E24" s="14">
        <f t="shared" si="0"/>
        <v>1278</v>
      </c>
    </row>
    <row r="25" spans="1:5" x14ac:dyDescent="0.3">
      <c r="A25" s="15" t="s">
        <v>226</v>
      </c>
      <c r="B25" s="14">
        <v>450</v>
      </c>
      <c r="C25" s="16">
        <v>1</v>
      </c>
      <c r="D25" s="16">
        <v>1</v>
      </c>
      <c r="E25" s="14">
        <f t="shared" si="0"/>
        <v>450</v>
      </c>
    </row>
    <row r="27" spans="1:5" ht="16.5" x14ac:dyDescent="0.3">
      <c r="D27" s="23" t="s">
        <v>198</v>
      </c>
      <c r="E27" s="24">
        <f>SUM(E5:E26)</f>
        <v>90888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19"/>
  <sheetViews>
    <sheetView workbookViewId="0">
      <selection activeCell="H17" sqref="H17"/>
    </sheetView>
  </sheetViews>
  <sheetFormatPr defaultColWidth="8.85546875" defaultRowHeight="15.7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</cols>
  <sheetData>
    <row r="1" spans="1:5" ht="22.5" customHeight="1" x14ac:dyDescent="0.3">
      <c r="A1" s="6" t="s">
        <v>227</v>
      </c>
      <c r="B1" s="10"/>
      <c r="C1" s="7"/>
      <c r="D1" s="7"/>
      <c r="E1" s="5"/>
    </row>
    <row r="2" spans="1:5" ht="16.5" x14ac:dyDescent="0.3">
      <c r="A2" s="1"/>
      <c r="B2" s="4"/>
      <c r="C2" s="9"/>
      <c r="D2" s="9"/>
      <c r="E2" s="4"/>
    </row>
    <row r="3" spans="1:5" ht="22.5" customHeight="1" x14ac:dyDescent="0.25">
      <c r="A3" s="2" t="s">
        <v>4</v>
      </c>
      <c r="B3" s="11" t="s">
        <v>183</v>
      </c>
      <c r="C3" s="8" t="s">
        <v>6</v>
      </c>
      <c r="D3" s="8" t="s">
        <v>184</v>
      </c>
      <c r="E3" s="3" t="s">
        <v>185</v>
      </c>
    </row>
    <row r="4" spans="1:5" x14ac:dyDescent="0.3">
      <c r="A4" s="17" t="s">
        <v>206</v>
      </c>
      <c r="B4" s="18"/>
      <c r="C4" s="19"/>
      <c r="D4" s="19"/>
      <c r="E4" s="20"/>
    </row>
    <row r="5" spans="1:5" x14ac:dyDescent="0.3">
      <c r="A5" s="15" t="s">
        <v>207</v>
      </c>
      <c r="B5" s="14">
        <v>250</v>
      </c>
      <c r="C5" s="16">
        <v>1</v>
      </c>
      <c r="D5" s="16">
        <v>2</v>
      </c>
      <c r="E5" s="14">
        <f>B5*C5*D5</f>
        <v>500</v>
      </c>
    </row>
    <row r="6" spans="1:5" x14ac:dyDescent="0.3">
      <c r="A6" s="15" t="s">
        <v>208</v>
      </c>
      <c r="E6" s="14">
        <f t="shared" ref="E6:E17" si="0">B6*C6*D6</f>
        <v>0</v>
      </c>
    </row>
    <row r="7" spans="1:5" x14ac:dyDescent="0.3">
      <c r="A7" s="17" t="s">
        <v>209</v>
      </c>
      <c r="B7" s="20"/>
      <c r="C7" s="21"/>
      <c r="D7" s="21"/>
      <c r="E7" s="20"/>
    </row>
    <row r="8" spans="1:5" x14ac:dyDescent="0.3">
      <c r="A8" s="15" t="s">
        <v>212</v>
      </c>
      <c r="E8" s="14">
        <f t="shared" si="0"/>
        <v>0</v>
      </c>
    </row>
    <row r="9" spans="1:5" x14ac:dyDescent="0.3">
      <c r="A9" s="15" t="s">
        <v>228</v>
      </c>
      <c r="B9" s="14">
        <v>204</v>
      </c>
      <c r="C9" s="16">
        <v>1</v>
      </c>
      <c r="D9" s="16">
        <v>1</v>
      </c>
      <c r="E9" s="14">
        <f t="shared" si="0"/>
        <v>204</v>
      </c>
    </row>
    <row r="10" spans="1:5" x14ac:dyDescent="0.3">
      <c r="A10" s="15" t="s">
        <v>214</v>
      </c>
      <c r="B10" s="14">
        <v>4717.5</v>
      </c>
      <c r="C10" s="16">
        <v>1</v>
      </c>
      <c r="D10" s="16">
        <v>1</v>
      </c>
      <c r="E10" s="14">
        <f t="shared" si="0"/>
        <v>4717.5</v>
      </c>
    </row>
    <row r="11" spans="1:5" x14ac:dyDescent="0.3">
      <c r="A11" s="17" t="s">
        <v>200</v>
      </c>
      <c r="B11" s="20"/>
      <c r="C11" s="21"/>
      <c r="D11" s="21"/>
      <c r="E11" s="20"/>
    </row>
    <row r="12" spans="1:5" x14ac:dyDescent="0.3">
      <c r="A12" s="15" t="s">
        <v>216</v>
      </c>
      <c r="B12" s="14">
        <v>750</v>
      </c>
      <c r="C12" s="16">
        <v>1</v>
      </c>
      <c r="D12" s="16">
        <v>1</v>
      </c>
      <c r="E12" s="14">
        <f t="shared" si="0"/>
        <v>750</v>
      </c>
    </row>
    <row r="13" spans="1:5" x14ac:dyDescent="0.3">
      <c r="A13" s="15" t="s">
        <v>221</v>
      </c>
      <c r="B13" s="14">
        <v>1505</v>
      </c>
      <c r="C13" s="16">
        <v>1</v>
      </c>
      <c r="D13" s="16">
        <v>1</v>
      </c>
      <c r="E13" s="14">
        <f t="shared" si="0"/>
        <v>1505</v>
      </c>
    </row>
    <row r="14" spans="1:5" x14ac:dyDescent="0.3">
      <c r="A14" s="15" t="s">
        <v>229</v>
      </c>
      <c r="B14" s="14">
        <v>800</v>
      </c>
      <c r="C14" s="16">
        <v>1</v>
      </c>
      <c r="D14" s="16">
        <v>1</v>
      </c>
      <c r="E14" s="14">
        <f t="shared" si="0"/>
        <v>800</v>
      </c>
    </row>
    <row r="15" spans="1:5" x14ac:dyDescent="0.3">
      <c r="A15" s="15" t="s">
        <v>220</v>
      </c>
      <c r="B15" s="14">
        <v>374</v>
      </c>
      <c r="C15" s="16">
        <v>1</v>
      </c>
      <c r="D15" s="16">
        <v>1</v>
      </c>
      <c r="E15" s="14">
        <f t="shared" si="0"/>
        <v>374</v>
      </c>
    </row>
    <row r="16" spans="1:5" x14ac:dyDescent="0.3">
      <c r="A16" s="15" t="s">
        <v>230</v>
      </c>
      <c r="B16" s="14">
        <v>764.2</v>
      </c>
      <c r="C16" s="16">
        <v>1</v>
      </c>
      <c r="D16" s="16">
        <v>1</v>
      </c>
      <c r="E16" s="14">
        <f t="shared" si="0"/>
        <v>764.2</v>
      </c>
    </row>
    <row r="17" spans="1:5" x14ac:dyDescent="0.3">
      <c r="A17" s="15" t="s">
        <v>231</v>
      </c>
      <c r="B17" s="14">
        <v>3200</v>
      </c>
      <c r="C17" s="16">
        <v>1</v>
      </c>
      <c r="D17" s="16">
        <v>1</v>
      </c>
      <c r="E17" s="14">
        <f t="shared" si="0"/>
        <v>3200</v>
      </c>
    </row>
    <row r="19" spans="1:5" ht="16.5" x14ac:dyDescent="0.3">
      <c r="D19" s="23" t="s">
        <v>198</v>
      </c>
      <c r="E19" s="24">
        <f>SUM(E5:E18)</f>
        <v>12814.7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20"/>
  <sheetViews>
    <sheetView workbookViewId="0">
      <selection activeCell="F18" sqref="F18"/>
    </sheetView>
  </sheetViews>
  <sheetFormatPr defaultColWidth="8.85546875" defaultRowHeight="16.5" x14ac:dyDescent="0.3"/>
  <cols>
    <col min="1" max="1" width="22.42578125" style="15" customWidth="1"/>
    <col min="2" max="2" width="12.7109375" style="14" customWidth="1"/>
    <col min="3" max="4" width="12.7109375" style="16" customWidth="1"/>
    <col min="5" max="5" width="19.85546875" style="14" customWidth="1"/>
    <col min="6" max="6" width="8.85546875" style="1"/>
  </cols>
  <sheetData>
    <row r="1" spans="1:6" ht="22.5" customHeight="1" x14ac:dyDescent="0.3">
      <c r="A1" s="6" t="s">
        <v>232</v>
      </c>
      <c r="B1" s="10"/>
      <c r="C1" s="7"/>
      <c r="D1" s="7"/>
      <c r="E1" s="5"/>
    </row>
    <row r="2" spans="1:6" x14ac:dyDescent="0.3">
      <c r="A2" s="1"/>
      <c r="B2" s="4"/>
      <c r="C2" s="9"/>
      <c r="D2" s="9"/>
      <c r="E2" s="4"/>
    </row>
    <row r="3" spans="1:6" ht="22.5" customHeight="1" x14ac:dyDescent="0.3">
      <c r="A3" s="2" t="s">
        <v>4</v>
      </c>
      <c r="B3" s="11" t="s">
        <v>183</v>
      </c>
      <c r="C3" s="8" t="s">
        <v>6</v>
      </c>
      <c r="D3" s="8" t="s">
        <v>184</v>
      </c>
      <c r="E3" s="3" t="s">
        <v>185</v>
      </c>
    </row>
    <row r="4" spans="1:6" x14ac:dyDescent="0.3">
      <c r="A4" s="17" t="s">
        <v>206</v>
      </c>
      <c r="B4" s="18"/>
      <c r="C4" s="19"/>
      <c r="D4" s="19"/>
      <c r="E4" s="20"/>
    </row>
    <row r="5" spans="1:6" x14ac:dyDescent="0.3">
      <c r="A5" s="15" t="s">
        <v>207</v>
      </c>
      <c r="B5" s="14">
        <v>7000</v>
      </c>
      <c r="C5" s="16">
        <v>1</v>
      </c>
      <c r="D5" s="16">
        <v>1</v>
      </c>
      <c r="E5" s="14">
        <f>B5*C5*D5</f>
        <v>7000</v>
      </c>
    </row>
    <row r="6" spans="1:6" x14ac:dyDescent="0.3">
      <c r="A6" s="15" t="s">
        <v>233</v>
      </c>
      <c r="B6" s="14">
        <v>0</v>
      </c>
      <c r="C6" s="16">
        <v>1</v>
      </c>
      <c r="D6" s="16">
        <v>1</v>
      </c>
      <c r="E6" s="14">
        <f t="shared" ref="E6:E18" si="0">B6*C6*D6</f>
        <v>0</v>
      </c>
      <c r="F6" s="1" t="s">
        <v>64</v>
      </c>
    </row>
    <row r="7" spans="1:6" x14ac:dyDescent="0.3">
      <c r="A7" s="17" t="s">
        <v>209</v>
      </c>
      <c r="B7" s="20"/>
      <c r="C7" s="21"/>
      <c r="D7" s="21"/>
      <c r="E7" s="20"/>
    </row>
    <row r="8" spans="1:6" x14ac:dyDescent="0.3">
      <c r="A8" s="15" t="s">
        <v>213</v>
      </c>
      <c r="B8" s="14">
        <v>5662.5</v>
      </c>
      <c r="C8" s="16">
        <v>1</v>
      </c>
      <c r="D8" s="16">
        <v>1</v>
      </c>
      <c r="E8" s="14">
        <f t="shared" si="0"/>
        <v>5662.5</v>
      </c>
    </row>
    <row r="9" spans="1:6" x14ac:dyDescent="0.3">
      <c r="A9" s="15" t="s">
        <v>234</v>
      </c>
      <c r="B9" s="14">
        <v>204</v>
      </c>
      <c r="C9" s="16">
        <v>1</v>
      </c>
      <c r="D9" s="16">
        <v>1</v>
      </c>
      <c r="E9" s="14">
        <f t="shared" si="0"/>
        <v>204</v>
      </c>
    </row>
    <row r="10" spans="1:6" x14ac:dyDescent="0.3">
      <c r="A10" s="15" t="s">
        <v>235</v>
      </c>
      <c r="C10" s="16">
        <v>1</v>
      </c>
      <c r="D10" s="16">
        <v>1</v>
      </c>
      <c r="E10" s="14">
        <f t="shared" si="0"/>
        <v>0</v>
      </c>
    </row>
    <row r="11" spans="1:6" x14ac:dyDescent="0.3">
      <c r="A11" s="17" t="s">
        <v>200</v>
      </c>
      <c r="B11" s="20"/>
      <c r="C11" s="21"/>
      <c r="D11" s="21"/>
      <c r="E11" s="20"/>
    </row>
    <row r="12" spans="1:6" x14ac:dyDescent="0.3">
      <c r="A12" s="15" t="s">
        <v>215</v>
      </c>
      <c r="B12" s="14">
        <v>1482</v>
      </c>
      <c r="C12" s="16">
        <v>1</v>
      </c>
      <c r="D12" s="16">
        <v>1</v>
      </c>
      <c r="E12" s="14">
        <f t="shared" si="0"/>
        <v>1482</v>
      </c>
    </row>
    <row r="13" spans="1:6" x14ac:dyDescent="0.3">
      <c r="A13" s="15" t="s">
        <v>217</v>
      </c>
      <c r="B13" s="14">
        <v>0</v>
      </c>
      <c r="C13" s="16">
        <v>1</v>
      </c>
      <c r="D13" s="16">
        <v>1</v>
      </c>
      <c r="E13" s="14">
        <f t="shared" si="0"/>
        <v>0</v>
      </c>
    </row>
    <row r="14" spans="1:6" x14ac:dyDescent="0.3">
      <c r="A14" s="15" t="s">
        <v>219</v>
      </c>
      <c r="B14" s="14">
        <v>6400</v>
      </c>
      <c r="C14" s="16">
        <v>1</v>
      </c>
      <c r="D14" s="16">
        <v>1</v>
      </c>
      <c r="E14" s="14">
        <f t="shared" si="0"/>
        <v>6400</v>
      </c>
    </row>
    <row r="15" spans="1:6" x14ac:dyDescent="0.3">
      <c r="A15" s="15" t="s">
        <v>221</v>
      </c>
      <c r="B15" s="14">
        <v>1210</v>
      </c>
      <c r="C15" s="16">
        <v>1</v>
      </c>
      <c r="D15" s="16">
        <v>1</v>
      </c>
      <c r="E15" s="14">
        <f t="shared" si="0"/>
        <v>1210</v>
      </c>
    </row>
    <row r="16" spans="1:6" x14ac:dyDescent="0.3">
      <c r="A16" s="15" t="s">
        <v>229</v>
      </c>
      <c r="B16" s="14">
        <v>626.55999999999995</v>
      </c>
      <c r="C16" s="16">
        <v>1</v>
      </c>
      <c r="D16" s="16">
        <v>1</v>
      </c>
      <c r="E16" s="14">
        <f t="shared" si="0"/>
        <v>626.55999999999995</v>
      </c>
    </row>
    <row r="17" spans="1:5" x14ac:dyDescent="0.3">
      <c r="A17" s="15" t="s">
        <v>220</v>
      </c>
      <c r="B17" s="14">
        <v>528</v>
      </c>
      <c r="C17" s="16">
        <v>1</v>
      </c>
      <c r="D17" s="16">
        <v>1</v>
      </c>
      <c r="E17" s="14">
        <f t="shared" si="0"/>
        <v>528</v>
      </c>
    </row>
    <row r="18" spans="1:5" x14ac:dyDescent="0.3">
      <c r="A18" s="15" t="s">
        <v>236</v>
      </c>
      <c r="B18" s="14">
        <v>521</v>
      </c>
      <c r="C18" s="16">
        <v>1</v>
      </c>
      <c r="D18" s="16">
        <v>1</v>
      </c>
      <c r="E18" s="14">
        <f t="shared" si="0"/>
        <v>521</v>
      </c>
    </row>
    <row r="20" spans="1:5" x14ac:dyDescent="0.3">
      <c r="D20" s="23" t="s">
        <v>198</v>
      </c>
      <c r="E20" s="24">
        <f>SUM(E5:E19)</f>
        <v>23634.06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F166BD-827F-4F17-BE4E-D3853A6E3A25}">
  <ds:schemaRefs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80129174-c05c-43cc-8e32-21fcbdfe51bb"/>
  </ds:schemaRefs>
</ds:datastoreItem>
</file>

<file path=customXml/itemProps2.xml><?xml version="1.0" encoding="utf-8"?>
<ds:datastoreItem xmlns:ds="http://schemas.openxmlformats.org/officeDocument/2006/customXml" ds:itemID="{9BE38B19-919E-4C41-8CCB-AE814EF03ACD}"/>
</file>

<file path=customXml/itemProps3.xml><?xml version="1.0" encoding="utf-8"?>
<ds:datastoreItem xmlns:ds="http://schemas.openxmlformats.org/officeDocument/2006/customXml" ds:itemID="{48CB6006-FCB6-4D82-9162-B83AC24D05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R1BW topline budget</vt:lpstr>
      <vt:lpstr>Groundworks</vt:lpstr>
      <vt:lpstr>Summary</vt:lpstr>
      <vt:lpstr>Income</vt:lpstr>
      <vt:lpstr>PM-TM</vt:lpstr>
      <vt:lpstr>EXP. all sites</vt:lpstr>
      <vt:lpstr>EXP. BC</vt:lpstr>
      <vt:lpstr>EXP. Walton St</vt:lpstr>
      <vt:lpstr>EXP. Leconfield</vt:lpstr>
      <vt:lpstr>EXP. Interchange</vt:lpstr>
      <vt:lpstr>EXP. Grove Hill</vt:lpstr>
      <vt:lpstr>EXP. Buses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Clay</dc:creator>
  <cp:keywords/>
  <dc:description/>
  <cp:lastModifiedBy>Sutcliffe Kirsty (2017)</cp:lastModifiedBy>
  <cp:revision/>
  <cp:lastPrinted>2017-05-31T10:39:37Z</cp:lastPrinted>
  <dcterms:created xsi:type="dcterms:W3CDTF">2017-03-07T16:56:09Z</dcterms:created>
  <dcterms:modified xsi:type="dcterms:W3CDTF">2017-05-31T11:16:18Z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