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B17" i="1"/>
  <c r="D17" i="1"/>
  <c r="C17" i="1"/>
  <c r="F12" i="1"/>
  <c r="B47" i="1" l="1"/>
  <c r="B45" i="1"/>
  <c r="B44" i="1"/>
  <c r="B43" i="1"/>
  <c r="J39" i="1"/>
  <c r="I39" i="1"/>
  <c r="H39" i="1"/>
  <c r="G39" i="1"/>
  <c r="F39" i="1"/>
  <c r="E39" i="1"/>
  <c r="D39" i="1"/>
  <c r="C39" i="1"/>
  <c r="B39" i="1" s="1"/>
  <c r="J32" i="1"/>
  <c r="I32" i="1"/>
  <c r="H32" i="1"/>
  <c r="G32" i="1"/>
  <c r="F32" i="1"/>
  <c r="E32" i="1"/>
  <c r="D32" i="1"/>
  <c r="B32" i="1" s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E29" i="1"/>
  <c r="D29" i="1"/>
  <c r="C29" i="1"/>
  <c r="J28" i="1"/>
  <c r="I28" i="1"/>
  <c r="H28" i="1"/>
  <c r="H33" i="1" s="1"/>
  <c r="G28" i="1"/>
  <c r="F28" i="1"/>
  <c r="E28" i="1"/>
  <c r="D28" i="1"/>
  <c r="B28" i="1" s="1"/>
  <c r="C28" i="1"/>
  <c r="J24" i="1"/>
  <c r="B24" i="1" s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B22" i="1" s="1"/>
  <c r="D22" i="1"/>
  <c r="C22" i="1"/>
  <c r="J21" i="1"/>
  <c r="J25" i="1" s="1"/>
  <c r="I21" i="1"/>
  <c r="H21" i="1"/>
  <c r="H25" i="1" s="1"/>
  <c r="G21" i="1"/>
  <c r="G25" i="1" s="1"/>
  <c r="F21" i="1"/>
  <c r="F25" i="1" s="1"/>
  <c r="E21" i="1"/>
  <c r="D21" i="1"/>
  <c r="D25" i="1" s="1"/>
  <c r="C21" i="1"/>
  <c r="C25" i="1" s="1"/>
  <c r="G16" i="1"/>
  <c r="D14" i="1"/>
  <c r="B14" i="1" s="1"/>
  <c r="I13" i="1"/>
  <c r="G13" i="1"/>
  <c r="D13" i="1"/>
  <c r="B13" i="1" s="1"/>
  <c r="C13" i="1"/>
  <c r="J12" i="1"/>
  <c r="J16" i="1" s="1"/>
  <c r="I12" i="1"/>
  <c r="I16" i="1" s="1"/>
  <c r="H12" i="1"/>
  <c r="H16" i="1" s="1"/>
  <c r="G12" i="1"/>
  <c r="F16" i="1"/>
  <c r="E12" i="1"/>
  <c r="E16" i="1" s="1"/>
  <c r="D12" i="1"/>
  <c r="L12" i="1" s="1"/>
  <c r="C12" i="1"/>
  <c r="C15" i="1" s="1"/>
  <c r="G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J10" i="1" s="1"/>
  <c r="I7" i="1"/>
  <c r="H7" i="1"/>
  <c r="G7" i="1"/>
  <c r="F7" i="1"/>
  <c r="F10" i="1" s="1"/>
  <c r="E7" i="1"/>
  <c r="D7" i="1"/>
  <c r="C7" i="1"/>
  <c r="E10" i="1" l="1"/>
  <c r="I10" i="1"/>
  <c r="E33" i="1"/>
  <c r="I33" i="1"/>
  <c r="C10" i="1"/>
  <c r="B9" i="1"/>
  <c r="H35" i="1"/>
  <c r="F33" i="1"/>
  <c r="J33" i="1"/>
  <c r="B30" i="1"/>
  <c r="B31" i="1"/>
  <c r="B7" i="1"/>
  <c r="D10" i="1"/>
  <c r="H10" i="1"/>
  <c r="G15" i="1"/>
  <c r="E25" i="1"/>
  <c r="E35" i="1" s="1"/>
  <c r="I25" i="1"/>
  <c r="I35" i="1" s="1"/>
  <c r="B23" i="1"/>
  <c r="C33" i="1"/>
  <c r="G33" i="1"/>
  <c r="G35" i="1" s="1"/>
  <c r="B29" i="1"/>
  <c r="F35" i="1"/>
  <c r="J35" i="1"/>
  <c r="C35" i="1"/>
  <c r="C37" i="1" s="1"/>
  <c r="B8" i="1"/>
  <c r="B12" i="1"/>
  <c r="D15" i="1"/>
  <c r="H15" i="1"/>
  <c r="H37" i="1" s="1"/>
  <c r="C16" i="1"/>
  <c r="K12" i="1"/>
  <c r="E15" i="1"/>
  <c r="I15" i="1"/>
  <c r="D16" i="1"/>
  <c r="B21" i="1"/>
  <c r="D33" i="1"/>
  <c r="F15" i="1"/>
  <c r="J15" i="1"/>
  <c r="G37" i="1" l="1"/>
  <c r="I37" i="1"/>
  <c r="B33" i="1"/>
  <c r="E37" i="1"/>
  <c r="B25" i="1"/>
  <c r="J37" i="1"/>
  <c r="L10" i="1"/>
  <c r="B10" i="1"/>
  <c r="F37" i="1"/>
  <c r="D35" i="1"/>
  <c r="D37" i="1" s="1"/>
  <c r="B16" i="1"/>
  <c r="B15" i="1"/>
  <c r="L16" i="1"/>
  <c r="B37" i="1" l="1"/>
  <c r="B41" i="1" s="1"/>
  <c r="B48" i="1"/>
  <c r="B50" i="1" s="1"/>
  <c r="B55" i="1" s="1"/>
  <c r="B35" i="1"/>
</calcChain>
</file>

<file path=xl/sharedStrings.xml><?xml version="1.0" encoding="utf-8"?>
<sst xmlns="http://schemas.openxmlformats.org/spreadsheetml/2006/main" count="66" uniqueCount="62">
  <si>
    <t>Consolidated Budget</t>
  </si>
  <si>
    <t>17-18</t>
  </si>
  <si>
    <t>RSC Build</t>
  </si>
  <si>
    <t>NB Build</t>
    <phoneticPr fontId="0" type="noConversion"/>
  </si>
  <si>
    <t>HT Build</t>
    <phoneticPr fontId="0" type="noConversion"/>
  </si>
  <si>
    <t>HT Build</t>
  </si>
  <si>
    <t>HT Remount</t>
  </si>
  <si>
    <t>?Sheff/HT Build?</t>
  </si>
  <si>
    <t>HT2</t>
  </si>
  <si>
    <t>HT1</t>
  </si>
  <si>
    <t>HT4</t>
  </si>
  <si>
    <t>HT5</t>
  </si>
  <si>
    <t>HT7</t>
    <phoneticPr fontId="0" type="noConversion"/>
  </si>
  <si>
    <t>HT6</t>
  </si>
  <si>
    <t>HT3</t>
  </si>
  <si>
    <t>HT8</t>
  </si>
  <si>
    <t>Total</t>
  </si>
  <si>
    <t>The Hypocrite</t>
  </si>
  <si>
    <t>Richard 111</t>
  </si>
  <si>
    <t>Clown Club</t>
  </si>
  <si>
    <t>YT Show</t>
  </si>
  <si>
    <t>Market Theatre</t>
  </si>
  <si>
    <t>Heroines</t>
  </si>
  <si>
    <t>Tractors</t>
  </si>
  <si>
    <t>Christmas Carol</t>
  </si>
  <si>
    <t>Max Aud</t>
  </si>
  <si>
    <t>Est Aud</t>
  </si>
  <si>
    <t># perfs</t>
  </si>
  <si>
    <t>Seating capacity</t>
  </si>
  <si>
    <t>INCOME</t>
  </si>
  <si>
    <t>Estimated BO</t>
  </si>
  <si>
    <t>Co-pro income</t>
  </si>
  <si>
    <t>Royalty/Split '+/-</t>
  </si>
  <si>
    <t>Cash capacity</t>
  </si>
  <si>
    <t>EXPENDITURE</t>
  </si>
  <si>
    <t>Pre-production</t>
  </si>
  <si>
    <t>Actors &amp; SM's and Musos</t>
  </si>
  <si>
    <t>Creatives</t>
  </si>
  <si>
    <t>Physical production</t>
  </si>
  <si>
    <t>Other</t>
  </si>
  <si>
    <t>Running</t>
  </si>
  <si>
    <t>Actors &amp; SM's</t>
  </si>
  <si>
    <t>Show running</t>
  </si>
  <si>
    <t>Ancilliary run costs</t>
    <phoneticPr fontId="0" type="noConversion"/>
  </si>
  <si>
    <t>Total Production costs</t>
  </si>
  <si>
    <t>Surplus / (Deficit)</t>
  </si>
  <si>
    <t>Theatre programme costs</t>
  </si>
  <si>
    <t>Capacity Delivery Uplift Costs</t>
  </si>
  <si>
    <t>Marketing spend</t>
  </si>
  <si>
    <t>NYTN</t>
  </si>
  <si>
    <t>Talent Dev - Grow</t>
  </si>
  <si>
    <t>R&amp;D Legacy Project</t>
  </si>
  <si>
    <t>2017/2018 programmed surplus</t>
  </si>
  <si>
    <t>Contingency  5% on shows</t>
  </si>
  <si>
    <t>VC income target</t>
  </si>
  <si>
    <t>12 wk/s non-regular programme approx 4k/wk</t>
  </si>
  <si>
    <t xml:space="preserve">Total Costs </t>
  </si>
  <si>
    <t>CoC</t>
  </si>
  <si>
    <t>Deficit/Surplus</t>
  </si>
  <si>
    <t>Additional Management Fee</t>
  </si>
  <si>
    <t>Agreed 10k/pa JMW/MG</t>
  </si>
  <si>
    <t>Average yield per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</si>
</sst>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9" fontId="0" fillId="0" borderId="0" xfId="2" applyFont="1"/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2" xfId="0" applyBorder="1"/>
    <xf numFmtId="164" fontId="0" fillId="2" borderId="3" xfId="0" applyNumberFormat="1" applyFill="1" applyBorder="1" applyAlignment="1">
      <alignment horizontal="right"/>
    </xf>
    <xf numFmtId="164" fontId="0" fillId="0" borderId="3" xfId="0" applyNumberFormat="1" applyBorder="1"/>
    <xf numFmtId="0" fontId="0" fillId="0" borderId="0" xfId="0" applyFill="1" applyBorder="1"/>
    <xf numFmtId="9" fontId="0" fillId="2" borderId="1" xfId="0" applyNumberFormat="1" applyFill="1" applyBorder="1"/>
    <xf numFmtId="0" fontId="3" fillId="0" borderId="0" xfId="0" applyFont="1"/>
    <xf numFmtId="164" fontId="0" fillId="0" borderId="0" xfId="0" applyNumberFormat="1"/>
    <xf numFmtId="164" fontId="3" fillId="2" borderId="3" xfId="0" applyNumberFormat="1" applyFont="1" applyFill="1" applyBorder="1"/>
    <xf numFmtId="164" fontId="3" fillId="0" borderId="3" xfId="0" applyNumberFormat="1" applyFont="1" applyBorder="1"/>
    <xf numFmtId="0" fontId="6" fillId="0" borderId="0" xfId="0" applyFont="1"/>
    <xf numFmtId="3" fontId="0" fillId="0" borderId="1" xfId="0" applyNumberFormat="1" applyBorder="1"/>
    <xf numFmtId="164" fontId="0" fillId="2" borderId="3" xfId="0" applyNumberFormat="1" applyFill="1" applyBorder="1"/>
    <xf numFmtId="0" fontId="6" fillId="0" borderId="0" xfId="0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3" fontId="0" fillId="0" borderId="0" xfId="0" applyNumberFormat="1"/>
    <xf numFmtId="3" fontId="3" fillId="0" borderId="0" xfId="0" applyNumberFormat="1" applyFont="1"/>
    <xf numFmtId="0" fontId="3" fillId="0" borderId="0" xfId="0" applyNumberFormat="1" applyFont="1"/>
    <xf numFmtId="43" fontId="0" fillId="0" borderId="0" xfId="1" applyFont="1"/>
    <xf numFmtId="0" fontId="2" fillId="0" borderId="0" xfId="0" applyFont="1"/>
    <xf numFmtId="3" fontId="2" fillId="0" borderId="0" xfId="0" applyNumberFormat="1" applyFont="1"/>
    <xf numFmtId="9" fontId="0" fillId="2" borderId="0" xfId="0" applyNumberFormat="1" applyFill="1" applyBorder="1"/>
    <xf numFmtId="44" fontId="0" fillId="2" borderId="1" xfId="3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ckworthh\AppData\Local\Microsoft\Windows\Temporary%20Internet%20Files\Content.Outlook\TJ2DRWXD\CoC%20Budget%2018%20April%20+%20Headlines%20-%20For%20Annual%20Year%20Budget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tive Risk Anylsis"/>
      <sheetName val="Headlines for Annual Budget"/>
      <sheetName val="Summary City of Culture"/>
      <sheetName val="Increased capacity"/>
      <sheetName val="Engagement Programme"/>
      <sheetName val="The Hypocrite"/>
      <sheetName val="Richard 111"/>
      <sheetName val="Clown Club"/>
      <sheetName val="YT Show"/>
      <sheetName val="Market Theatre"/>
      <sheetName val="Tractors"/>
      <sheetName val="Revolution Mix"/>
      <sheetName val="Mighty Atoms"/>
      <sheetName val="Christmas Carol"/>
      <sheetName val="Rev Mix R&amp;D"/>
    </sheetNames>
    <sheetDataSet>
      <sheetData sheetId="0" refreshError="1"/>
      <sheetData sheetId="1" refreshError="1"/>
      <sheetData sheetId="2" refreshError="1"/>
      <sheetData sheetId="3" refreshError="1">
        <row r="3">
          <cell r="H3">
            <v>10771.2</v>
          </cell>
        </row>
        <row r="14">
          <cell r="I14">
            <v>19008</v>
          </cell>
        </row>
      </sheetData>
      <sheetData sheetId="4" refreshError="1">
        <row r="37">
          <cell r="G37">
            <v>23000</v>
          </cell>
        </row>
        <row r="42">
          <cell r="G42">
            <v>4000</v>
          </cell>
        </row>
        <row r="51">
          <cell r="G51">
            <v>7500</v>
          </cell>
        </row>
      </sheetData>
      <sheetData sheetId="5" refreshError="1">
        <row r="6">
          <cell r="C6">
            <v>24</v>
          </cell>
          <cell r="E6">
            <v>9438</v>
          </cell>
          <cell r="H6">
            <v>154869</v>
          </cell>
        </row>
        <row r="7">
          <cell r="N7">
            <v>5285.2800000000007</v>
          </cell>
        </row>
        <row r="17">
          <cell r="C17">
            <v>78983.19</v>
          </cell>
        </row>
        <row r="30">
          <cell r="E30">
            <v>12957.837750000001</v>
          </cell>
          <cell r="F30">
            <v>12957.837750000001</v>
          </cell>
          <cell r="G30">
            <v>12957.837750000001</v>
          </cell>
          <cell r="H30">
            <v>12957.837750000001</v>
          </cell>
          <cell r="I30">
            <v>12957.837750000001</v>
          </cell>
          <cell r="J30">
            <v>12957.837750000001</v>
          </cell>
          <cell r="K30">
            <v>12957.837750000001</v>
          </cell>
          <cell r="L30">
            <v>11779.852500000001</v>
          </cell>
          <cell r="M30">
            <v>11779.852500000001</v>
          </cell>
          <cell r="N30">
            <v>11779.852500000001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5630.9101666666666</v>
          </cell>
          <cell r="K36">
            <v>5630.9101666666666</v>
          </cell>
          <cell r="L36">
            <v>4378.6104166666673</v>
          </cell>
          <cell r="M36">
            <v>4378.6104166666673</v>
          </cell>
          <cell r="N36">
            <v>4378.6104166666673</v>
          </cell>
        </row>
        <row r="43">
          <cell r="E43">
            <v>2692.1800100000005</v>
          </cell>
          <cell r="F43">
            <v>2692.1800100000005</v>
          </cell>
          <cell r="G43">
            <v>2692.1800100000005</v>
          </cell>
          <cell r="H43">
            <v>2692.1800100000005</v>
          </cell>
          <cell r="I43">
            <v>2692.1800100000005</v>
          </cell>
          <cell r="J43">
            <v>2692.1800100000005</v>
          </cell>
          <cell r="K43">
            <v>2692.1800100000005</v>
          </cell>
          <cell r="L43">
            <v>2501.9996083333335</v>
          </cell>
          <cell r="M43">
            <v>2501.9996083333335</v>
          </cell>
          <cell r="N43">
            <v>2501.9996083333335</v>
          </cell>
        </row>
        <row r="54">
          <cell r="E54">
            <v>8100</v>
          </cell>
          <cell r="F54">
            <v>8100</v>
          </cell>
          <cell r="G54">
            <v>8100</v>
          </cell>
          <cell r="H54">
            <v>8100</v>
          </cell>
          <cell r="I54">
            <v>8100</v>
          </cell>
          <cell r="J54">
            <v>8100</v>
          </cell>
          <cell r="K54">
            <v>8100</v>
          </cell>
          <cell r="L54">
            <v>5400</v>
          </cell>
          <cell r="M54">
            <v>5400</v>
          </cell>
          <cell r="N54">
            <v>8100</v>
          </cell>
        </row>
        <row r="75">
          <cell r="E75">
            <v>58449</v>
          </cell>
          <cell r="F75">
            <v>0</v>
          </cell>
          <cell r="G75">
            <v>0</v>
          </cell>
          <cell r="H75">
            <v>549</v>
          </cell>
          <cell r="I75">
            <v>549</v>
          </cell>
          <cell r="J75">
            <v>11984</v>
          </cell>
          <cell r="K75">
            <v>12799</v>
          </cell>
          <cell r="L75">
            <v>1549</v>
          </cell>
          <cell r="M75">
            <v>549</v>
          </cell>
          <cell r="N75">
            <v>549</v>
          </cell>
        </row>
        <row r="93">
          <cell r="E93">
            <v>61000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2000</v>
          </cell>
          <cell r="M93">
            <v>0</v>
          </cell>
          <cell r="N93">
            <v>0</v>
          </cell>
        </row>
        <row r="101">
          <cell r="L101">
            <v>18635.095238095237</v>
          </cell>
          <cell r="M101">
            <v>250</v>
          </cell>
          <cell r="N101">
            <v>250</v>
          </cell>
        </row>
        <row r="106">
          <cell r="L106">
            <v>0</v>
          </cell>
          <cell r="M106">
            <v>10662.730650000001</v>
          </cell>
          <cell r="N106">
            <v>0</v>
          </cell>
        </row>
        <row r="111">
          <cell r="J111">
            <v>258273.55572266673</v>
          </cell>
        </row>
      </sheetData>
      <sheetData sheetId="6" refreshError="1">
        <row r="6">
          <cell r="C6">
            <v>24</v>
          </cell>
          <cell r="E6">
            <v>9009</v>
          </cell>
          <cell r="F6">
            <v>154440</v>
          </cell>
        </row>
        <row r="7">
          <cell r="M7">
            <v>5045.0400000000009</v>
          </cell>
        </row>
        <row r="8">
          <cell r="M8">
            <v>78764.399999999994</v>
          </cell>
        </row>
        <row r="16">
          <cell r="C16">
            <v>9250</v>
          </cell>
        </row>
        <row r="18">
          <cell r="C18">
            <v>7876.44</v>
          </cell>
        </row>
        <row r="49">
          <cell r="E49">
            <v>14116.208333333334</v>
          </cell>
          <cell r="F49">
            <v>14116.208333333334</v>
          </cell>
          <cell r="G49">
            <v>14566.208333333334</v>
          </cell>
          <cell r="H49">
            <v>14566.208333333334</v>
          </cell>
          <cell r="I49">
            <v>14566.208333333334</v>
          </cell>
          <cell r="J49">
            <v>14566.208333333334</v>
          </cell>
          <cell r="K49">
            <v>14810.083333333334</v>
          </cell>
          <cell r="L49">
            <v>0</v>
          </cell>
        </row>
        <row r="66">
          <cell r="E66">
            <v>26000</v>
          </cell>
          <cell r="F66">
            <v>0</v>
          </cell>
          <cell r="G66">
            <v>500</v>
          </cell>
          <cell r="H66">
            <v>1000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85">
          <cell r="E85">
            <v>32500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92">
          <cell r="I92">
            <v>8635.0952380952385</v>
          </cell>
          <cell r="J92">
            <v>0</v>
          </cell>
          <cell r="K92">
            <v>0</v>
          </cell>
          <cell r="L92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</row>
      </sheetData>
      <sheetData sheetId="7" refreshError="1">
        <row r="5">
          <cell r="D5">
            <v>21</v>
          </cell>
          <cell r="F5">
            <v>9009</v>
          </cell>
          <cell r="I5">
            <v>142213.5</v>
          </cell>
        </row>
        <row r="6">
          <cell r="N6">
            <v>5045.0400000000009</v>
          </cell>
        </row>
        <row r="7">
          <cell r="N7">
            <v>72528.884999999995</v>
          </cell>
        </row>
        <row r="32">
          <cell r="E32">
            <v>7179</v>
          </cell>
          <cell r="F32">
            <v>6189</v>
          </cell>
          <cell r="G32">
            <v>6189</v>
          </cell>
          <cell r="H32">
            <v>6189</v>
          </cell>
          <cell r="I32">
            <v>6189</v>
          </cell>
          <cell r="J32">
            <v>6189</v>
          </cell>
          <cell r="K32">
            <v>6189</v>
          </cell>
        </row>
        <row r="49">
          <cell r="E49">
            <v>25000</v>
          </cell>
          <cell r="F49">
            <v>0</v>
          </cell>
          <cell r="G49">
            <v>0</v>
          </cell>
          <cell r="H49">
            <v>0</v>
          </cell>
          <cell r="I49">
            <v>500</v>
          </cell>
          <cell r="J49">
            <v>0</v>
          </cell>
          <cell r="K49">
            <v>0</v>
          </cell>
        </row>
        <row r="67">
          <cell r="E67">
            <v>17200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74">
          <cell r="I74">
            <v>8485.0952380952385</v>
          </cell>
          <cell r="J74">
            <v>100</v>
          </cell>
          <cell r="K74">
            <v>100</v>
          </cell>
        </row>
        <row r="79">
          <cell r="I79">
            <v>0</v>
          </cell>
          <cell r="J79">
            <v>0</v>
          </cell>
          <cell r="K79">
            <v>9791.3994750000002</v>
          </cell>
        </row>
      </sheetData>
      <sheetData sheetId="8" refreshError="1">
        <row r="5">
          <cell r="D5">
            <v>5</v>
          </cell>
          <cell r="F5">
            <v>1900</v>
          </cell>
          <cell r="G5">
            <v>17860</v>
          </cell>
        </row>
        <row r="6">
          <cell r="J6">
            <v>1064</v>
          </cell>
        </row>
        <row r="7">
          <cell r="J7">
            <v>9108.6</v>
          </cell>
        </row>
        <row r="33">
          <cell r="E33">
            <v>2054.6616666666669</v>
          </cell>
          <cell r="F33">
            <v>1894.6616666666666</v>
          </cell>
          <cell r="G33">
            <v>1894.6616666666666</v>
          </cell>
          <cell r="H33">
            <v>1894.6616666666666</v>
          </cell>
          <cell r="I33">
            <v>1894.6616666666666</v>
          </cell>
        </row>
        <row r="48">
          <cell r="J48">
            <v>18150</v>
          </cell>
        </row>
        <row r="66">
          <cell r="J66">
            <v>12450</v>
          </cell>
        </row>
        <row r="74">
          <cell r="J74">
            <v>11085.095238095239</v>
          </cell>
        </row>
        <row r="79">
          <cell r="J79">
            <v>1047.489</v>
          </cell>
        </row>
      </sheetData>
      <sheetData sheetId="9" refreshError="1">
        <row r="5">
          <cell r="D5">
            <v>10</v>
          </cell>
          <cell r="F5">
            <v>4290</v>
          </cell>
          <cell r="I5">
            <v>69069</v>
          </cell>
          <cell r="K5">
            <v>0.43</v>
          </cell>
          <cell r="L5">
            <v>1844.7</v>
          </cell>
        </row>
        <row r="6">
          <cell r="K6">
            <v>0.35</v>
          </cell>
          <cell r="L6">
            <v>24174.149999999998</v>
          </cell>
        </row>
        <row r="29">
          <cell r="E29">
            <v>8414.7197721997563</v>
          </cell>
          <cell r="F29">
            <v>8414.7197721997563</v>
          </cell>
          <cell r="G29">
            <v>8414.7197721997563</v>
          </cell>
          <cell r="H29">
            <v>8464.7197721997563</v>
          </cell>
          <cell r="I29">
            <v>8414.7197721997563</v>
          </cell>
        </row>
        <row r="50">
          <cell r="E50">
            <v>7728.2913545978809</v>
          </cell>
          <cell r="F50">
            <v>1464</v>
          </cell>
          <cell r="G50">
            <v>1464</v>
          </cell>
          <cell r="H50">
            <v>1464</v>
          </cell>
          <cell r="I50">
            <v>3681.8579119906199</v>
          </cell>
        </row>
        <row r="68">
          <cell r="E68">
            <v>33991.217008446794</v>
          </cell>
          <cell r="F68">
            <v>0</v>
          </cell>
          <cell r="G68">
            <v>0</v>
          </cell>
          <cell r="H68">
            <v>0</v>
          </cell>
          <cell r="I68">
            <v>3265</v>
          </cell>
        </row>
        <row r="74">
          <cell r="I74">
            <v>50</v>
          </cell>
        </row>
        <row r="79">
          <cell r="I79">
            <v>3746.9932499999995</v>
          </cell>
        </row>
        <row r="83">
          <cell r="H83">
            <v>79820.387451843693</v>
          </cell>
        </row>
      </sheetData>
      <sheetData sheetId="10" refreshError="1">
        <row r="6">
          <cell r="C6">
            <v>21</v>
          </cell>
          <cell r="E6">
            <v>9009</v>
          </cell>
          <cell r="H6">
            <v>142213.5</v>
          </cell>
        </row>
        <row r="7">
          <cell r="L7">
            <v>4054.05</v>
          </cell>
        </row>
        <row r="8">
          <cell r="L8">
            <v>56885.4</v>
          </cell>
        </row>
        <row r="45">
          <cell r="E45">
            <v>7637.17</v>
          </cell>
          <cell r="F45">
            <v>7637.17</v>
          </cell>
          <cell r="G45">
            <v>7637.17</v>
          </cell>
          <cell r="H45">
            <v>8153.92</v>
          </cell>
          <cell r="I45">
            <v>8153.92</v>
          </cell>
          <cell r="J45">
            <v>7478.7</v>
          </cell>
          <cell r="K45">
            <v>7478.7</v>
          </cell>
          <cell r="L45">
            <v>8578.7000000000007</v>
          </cell>
        </row>
        <row r="64">
          <cell r="E64">
            <v>39000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82">
          <cell r="E82">
            <v>30500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3000</v>
          </cell>
          <cell r="K82">
            <v>0</v>
          </cell>
          <cell r="L82">
            <v>0</v>
          </cell>
        </row>
        <row r="89">
          <cell r="J89">
            <v>8635.0952380952385</v>
          </cell>
          <cell r="K89">
            <v>250</v>
          </cell>
          <cell r="L89">
            <v>250</v>
          </cell>
        </row>
        <row r="94">
          <cell r="J94">
            <v>0</v>
          </cell>
          <cell r="K94">
            <v>7679.5290000000014</v>
          </cell>
          <cell r="L94">
            <v>0</v>
          </cell>
        </row>
        <row r="99">
          <cell r="I99">
            <v>54359.674999999996</v>
          </cell>
        </row>
      </sheetData>
      <sheetData sheetId="11" refreshError="1"/>
      <sheetData sheetId="12" refreshError="1">
        <row r="5">
          <cell r="D5">
            <v>21</v>
          </cell>
          <cell r="F5">
            <v>9009</v>
          </cell>
          <cell r="H5">
            <v>142213.5</v>
          </cell>
        </row>
        <row r="6">
          <cell r="M6">
            <v>5045.0400000000009</v>
          </cell>
        </row>
        <row r="7">
          <cell r="M7">
            <v>72528.884999999995</v>
          </cell>
        </row>
        <row r="33">
          <cell r="E33">
            <v>8475.2674999999999</v>
          </cell>
          <cell r="F33">
            <v>7265.2674999999999</v>
          </cell>
          <cell r="G33">
            <v>7265.2674999999999</v>
          </cell>
          <cell r="H33">
            <v>7265.2674999999999</v>
          </cell>
          <cell r="I33">
            <v>8362.4674999999988</v>
          </cell>
          <cell r="J33">
            <v>7265.2674999999999</v>
          </cell>
          <cell r="K33">
            <v>7265.2674999999999</v>
          </cell>
          <cell r="L33">
            <v>7265.2674999999999</v>
          </cell>
          <cell r="M33">
            <v>0</v>
          </cell>
        </row>
        <row r="51">
          <cell r="E51">
            <v>28500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500</v>
          </cell>
          <cell r="K51">
            <v>0</v>
          </cell>
          <cell r="L51">
            <v>0</v>
          </cell>
          <cell r="M51">
            <v>0</v>
          </cell>
        </row>
        <row r="69">
          <cell r="E69">
            <v>22115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7">
          <cell r="J77">
            <v>23835.095238095237</v>
          </cell>
          <cell r="K77">
            <v>450</v>
          </cell>
          <cell r="L77">
            <v>450</v>
          </cell>
          <cell r="M77">
            <v>0</v>
          </cell>
        </row>
        <row r="80">
          <cell r="M80">
            <v>2538.5109750000001</v>
          </cell>
        </row>
        <row r="81">
          <cell r="M81">
            <v>7252.8885</v>
          </cell>
        </row>
      </sheetData>
      <sheetData sheetId="13" refreshError="1">
        <row r="4">
          <cell r="C4">
            <v>45</v>
          </cell>
          <cell r="E4">
            <v>19305</v>
          </cell>
          <cell r="F4">
            <v>297082.5</v>
          </cell>
        </row>
        <row r="5">
          <cell r="K5">
            <v>10810.800000000001</v>
          </cell>
        </row>
        <row r="6">
          <cell r="K6">
            <v>151512.07500000001</v>
          </cell>
        </row>
        <row r="34">
          <cell r="E34">
            <v>10208.559166666666</v>
          </cell>
          <cell r="F34">
            <v>8888.559166666666</v>
          </cell>
          <cell r="G34">
            <v>8888.559166666666</v>
          </cell>
          <cell r="H34">
            <v>8888.559166666666</v>
          </cell>
          <cell r="I34">
            <v>10344.559166666666</v>
          </cell>
          <cell r="J34">
            <v>9790.4709999999995</v>
          </cell>
          <cell r="K34">
            <v>10241.426916666667</v>
          </cell>
          <cell r="L34">
            <v>9790.4709999999995</v>
          </cell>
          <cell r="M34">
            <v>9790.4709999999995</v>
          </cell>
          <cell r="N34">
            <v>11129.934166666666</v>
          </cell>
          <cell r="O34">
            <v>0</v>
          </cell>
        </row>
        <row r="53">
          <cell r="E53">
            <v>32000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500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71">
          <cell r="E71">
            <v>25115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8485.0952380952385</v>
          </cell>
          <cell r="K78">
            <v>100</v>
          </cell>
          <cell r="L78">
            <v>100</v>
          </cell>
          <cell r="M78">
            <v>100</v>
          </cell>
          <cell r="N78">
            <v>100</v>
          </cell>
          <cell r="O78">
            <v>100</v>
          </cell>
        </row>
        <row r="83"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20454.130125000003</v>
          </cell>
          <cell r="O83">
            <v>0</v>
          </cell>
        </row>
      </sheetData>
      <sheetData sheetId="14" refreshError="1">
        <row r="66">
          <cell r="F66">
            <v>121.62150000000001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22" workbookViewId="0">
      <selection activeCell="B43" sqref="B43"/>
    </sheetView>
  </sheetViews>
  <sheetFormatPr defaultRowHeight="15" x14ac:dyDescent="0.25"/>
  <cols>
    <col min="1" max="1" width="27.85546875" customWidth="1"/>
    <col min="2" max="2" width="14.85546875" customWidth="1"/>
    <col min="3" max="3" width="15.85546875" customWidth="1"/>
    <col min="4" max="4" width="15.28515625" customWidth="1"/>
    <col min="5" max="5" width="13.42578125" customWidth="1"/>
    <col min="6" max="6" width="14.42578125" customWidth="1"/>
    <col min="7" max="7" width="17.28515625" customWidth="1"/>
    <col min="8" max="8" width="13.140625" customWidth="1"/>
    <col min="9" max="9" width="16.85546875" customWidth="1"/>
    <col min="10" max="10" width="15.85546875" customWidth="1"/>
  </cols>
  <sheetData>
    <row r="1" spans="1:12" ht="21" x14ac:dyDescent="0.35">
      <c r="A1" s="1">
        <v>2017</v>
      </c>
      <c r="B1" s="1" t="s">
        <v>0</v>
      </c>
      <c r="L1" t="s">
        <v>1</v>
      </c>
    </row>
    <row r="2" spans="1:12" ht="21" x14ac:dyDescent="0.35">
      <c r="A2" s="2"/>
      <c r="B2" s="2"/>
      <c r="C2" t="s">
        <v>2</v>
      </c>
      <c r="D2" t="s">
        <v>3</v>
      </c>
      <c r="E2" t="s">
        <v>4</v>
      </c>
      <c r="F2" t="s">
        <v>5</v>
      </c>
      <c r="G2" t="s">
        <v>6</v>
      </c>
      <c r="H2" s="3" t="s">
        <v>5</v>
      </c>
      <c r="I2" t="s">
        <v>7</v>
      </c>
      <c r="J2" t="s">
        <v>5</v>
      </c>
    </row>
    <row r="3" spans="1:12" x14ac:dyDescent="0.25">
      <c r="B3" s="4"/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5" t="s">
        <v>14</v>
      </c>
      <c r="J3" s="5" t="s">
        <v>15</v>
      </c>
    </row>
    <row r="4" spans="1:12" x14ac:dyDescent="0.25">
      <c r="B4" s="4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6" t="s">
        <v>22</v>
      </c>
      <c r="I4" s="5" t="s">
        <v>23</v>
      </c>
      <c r="J4" s="5" t="s">
        <v>24</v>
      </c>
    </row>
    <row r="5" spans="1:12" x14ac:dyDescent="0.25">
      <c r="B5" s="4"/>
      <c r="C5" s="5"/>
      <c r="D5" s="5"/>
      <c r="E5" s="5"/>
      <c r="F5" s="5"/>
      <c r="G5" s="5"/>
      <c r="H5" s="5"/>
      <c r="I5" s="5"/>
      <c r="J5" s="5"/>
    </row>
    <row r="6" spans="1:12" x14ac:dyDescent="0.25">
      <c r="B6" s="4"/>
      <c r="C6" s="5"/>
      <c r="D6" s="5"/>
      <c r="E6" s="5"/>
      <c r="F6" s="5"/>
      <c r="G6" s="5"/>
      <c r="H6" s="5"/>
      <c r="I6" s="5"/>
      <c r="J6" s="5"/>
      <c r="L6" s="7"/>
    </row>
    <row r="7" spans="1:12" x14ac:dyDescent="0.25">
      <c r="A7" t="s">
        <v>25</v>
      </c>
      <c r="B7" s="8">
        <f>SUM(C7:K7)</f>
        <v>70969</v>
      </c>
      <c r="C7" s="9">
        <f>'[1]The Hypocrite'!E6</f>
        <v>9438</v>
      </c>
      <c r="D7" s="9">
        <f>'[1]Richard 111'!E6</f>
        <v>9009</v>
      </c>
      <c r="E7" s="9">
        <f>'[1]Clown Club'!F5</f>
        <v>9009</v>
      </c>
      <c r="F7" s="9">
        <f>'[1]YT Show'!F5</f>
        <v>1900</v>
      </c>
      <c r="G7" s="9">
        <f>'[1]Market Theatre'!F5</f>
        <v>4290</v>
      </c>
      <c r="H7" s="9">
        <f>'[1]Mighty Atoms'!F5</f>
        <v>9009</v>
      </c>
      <c r="I7" s="9">
        <f>[1]Tractors!E6</f>
        <v>9009</v>
      </c>
      <c r="J7" s="9">
        <f>'[1]Christmas Carol'!E4</f>
        <v>19305</v>
      </c>
    </row>
    <row r="8" spans="1:12" x14ac:dyDescent="0.25">
      <c r="A8" t="s">
        <v>26</v>
      </c>
      <c r="B8" s="8">
        <f>SUM(C8:K8)</f>
        <v>38193.950000000004</v>
      </c>
      <c r="C8" s="9">
        <f>'[1]The Hypocrite'!N7</f>
        <v>5285.2800000000007</v>
      </c>
      <c r="D8" s="9">
        <f>'[1]Richard 111'!M7</f>
        <v>5045.0400000000009</v>
      </c>
      <c r="E8" s="9">
        <f>'[1]Clown Club'!N6</f>
        <v>5045.0400000000009</v>
      </c>
      <c r="F8" s="9">
        <f>'[1]YT Show'!J6</f>
        <v>1064</v>
      </c>
      <c r="G8" s="9">
        <f>'[1]Market Theatre'!L5</f>
        <v>1844.7</v>
      </c>
      <c r="H8" s="9">
        <f>'[1]Mighty Atoms'!M6</f>
        <v>5045.0400000000009</v>
      </c>
      <c r="I8" s="9">
        <f>[1]Tractors!L7</f>
        <v>4054.05</v>
      </c>
      <c r="J8" s="9">
        <f>'[1]Christmas Carol'!K5</f>
        <v>10810.800000000001</v>
      </c>
    </row>
    <row r="9" spans="1:12" x14ac:dyDescent="0.25">
      <c r="A9" s="10" t="s">
        <v>27</v>
      </c>
      <c r="B9" s="11">
        <f>SUM(C9:K9)</f>
        <v>171</v>
      </c>
      <c r="C9" s="12">
        <f>'[1]The Hypocrite'!C6</f>
        <v>24</v>
      </c>
      <c r="D9" s="12">
        <f>'[1]Richard 111'!C6</f>
        <v>24</v>
      </c>
      <c r="E9" s="12">
        <f>'[1]Clown Club'!D5</f>
        <v>21</v>
      </c>
      <c r="F9" s="12">
        <f>'[1]YT Show'!D5</f>
        <v>5</v>
      </c>
      <c r="G9" s="12">
        <f>'[1]Market Theatre'!D5</f>
        <v>10</v>
      </c>
      <c r="H9" s="12">
        <f>'[1]Mighty Atoms'!D5</f>
        <v>21</v>
      </c>
      <c r="I9" s="12">
        <f>[1]Tractors!C6</f>
        <v>21</v>
      </c>
      <c r="J9" s="12">
        <f>'[1]Christmas Carol'!C4</f>
        <v>45</v>
      </c>
    </row>
    <row r="10" spans="1:12" x14ac:dyDescent="0.25">
      <c r="A10" s="13" t="s">
        <v>28</v>
      </c>
      <c r="B10" s="14">
        <f>B8/B7</f>
        <v>0.53817793684566506</v>
      </c>
      <c r="C10" s="14">
        <f t="shared" ref="C10:F10" si="0">C8/C7</f>
        <v>0.56000000000000005</v>
      </c>
      <c r="D10" s="14">
        <f>D8/D7</f>
        <v>0.56000000000000005</v>
      </c>
      <c r="E10" s="14">
        <f>E8/E7</f>
        <v>0.56000000000000005</v>
      </c>
      <c r="F10" s="14">
        <f t="shared" si="0"/>
        <v>0.56000000000000005</v>
      </c>
      <c r="G10" s="14">
        <f>'[1]Market Theatre'!K5</f>
        <v>0.43</v>
      </c>
      <c r="H10" s="14">
        <f>H8/H7</f>
        <v>0.56000000000000005</v>
      </c>
      <c r="I10" s="14">
        <f>I8/I7</f>
        <v>0.45</v>
      </c>
      <c r="J10" s="14">
        <f>J8/J7</f>
        <v>0.56000000000000005</v>
      </c>
      <c r="L10" s="14">
        <f>(B8-C8)/(B7-C7)</f>
        <v>0.53483073572670692</v>
      </c>
    </row>
    <row r="11" spans="1:12" x14ac:dyDescent="0.25">
      <c r="A11" s="15" t="s">
        <v>29</v>
      </c>
      <c r="B11" s="4"/>
      <c r="C11" s="9"/>
      <c r="D11" s="9"/>
      <c r="E11" s="9"/>
      <c r="F11" s="9"/>
      <c r="G11" s="9"/>
      <c r="H11" s="9"/>
      <c r="I11" s="9"/>
      <c r="J11" s="9"/>
    </row>
    <row r="12" spans="1:12" x14ac:dyDescent="0.25">
      <c r="A12" t="s">
        <v>30</v>
      </c>
      <c r="B12" s="8">
        <f>SUM(C12:J12)</f>
        <v>544485.58499999996</v>
      </c>
      <c r="C12" s="9">
        <f>'[1]The Hypocrite'!C17</f>
        <v>78983.19</v>
      </c>
      <c r="D12" s="9">
        <f>'[1]Richard 111'!M8</f>
        <v>78764.399999999994</v>
      </c>
      <c r="E12" s="9">
        <f>'[1]Clown Club'!N7</f>
        <v>72528.884999999995</v>
      </c>
      <c r="F12" s="9">
        <f>'[1]YT Show'!J7</f>
        <v>9108.6</v>
      </c>
      <c r="G12" s="9">
        <f>'[1]Market Theatre'!L6</f>
        <v>24174.149999999998</v>
      </c>
      <c r="H12" s="9">
        <f>'[1]Mighty Atoms'!M7</f>
        <v>72528.884999999995</v>
      </c>
      <c r="I12" s="9">
        <f>[1]Tractors!L8</f>
        <v>56885.4</v>
      </c>
      <c r="J12" s="9">
        <f>'[1]Christmas Carol'!K6</f>
        <v>151512.07500000001</v>
      </c>
      <c r="K12" s="16">
        <f>SUM(C12)+R16+R19+R20</f>
        <v>78983.19</v>
      </c>
      <c r="L12" s="16">
        <f>SUM(D12:J12)+S16+S19+S20</f>
        <v>465502.39500000002</v>
      </c>
    </row>
    <row r="13" spans="1:12" x14ac:dyDescent="0.25">
      <c r="A13" t="s">
        <v>31</v>
      </c>
      <c r="B13" s="8">
        <f>SUM(C13:K13)</f>
        <v>401703.61817451043</v>
      </c>
      <c r="C13" s="9">
        <f>'[1]The Hypocrite'!J111</f>
        <v>258273.55572266673</v>
      </c>
      <c r="D13" s="9">
        <f>'[1]Richard 111'!C16</f>
        <v>9250</v>
      </c>
      <c r="E13" s="9"/>
      <c r="F13" s="9"/>
      <c r="G13" s="9">
        <f>'[1]Market Theatre'!H83</f>
        <v>79820.387451843693</v>
      </c>
      <c r="H13" s="9"/>
      <c r="I13" s="9">
        <f>[1]Tractors!I99</f>
        <v>54359.674999999996</v>
      </c>
      <c r="J13" s="9"/>
    </row>
    <row r="14" spans="1:12" x14ac:dyDescent="0.25">
      <c r="A14" t="s">
        <v>32</v>
      </c>
      <c r="B14" s="8">
        <f>SUM(C14:K14)</f>
        <v>-7876.44</v>
      </c>
      <c r="C14" s="9"/>
      <c r="D14" s="9">
        <f>-'[1]Richard 111'!C18</f>
        <v>-7876.44</v>
      </c>
      <c r="E14" s="9"/>
      <c r="F14" s="9"/>
      <c r="G14" s="9"/>
      <c r="H14" s="9"/>
      <c r="I14" s="9"/>
      <c r="J14" s="9"/>
    </row>
    <row r="15" spans="1:12" x14ac:dyDescent="0.25">
      <c r="B15" s="17">
        <f t="shared" ref="B15:F15" si="1">SUM(B12:B14)</f>
        <v>938312.76317451044</v>
      </c>
      <c r="C15" s="18">
        <f>SUM(C12:C14)</f>
        <v>337256.74572266673</v>
      </c>
      <c r="D15" s="18">
        <f>SUM(D12:D14)</f>
        <v>80137.959999999992</v>
      </c>
      <c r="E15" s="18">
        <f t="shared" si="1"/>
        <v>72528.884999999995</v>
      </c>
      <c r="F15" s="18">
        <f t="shared" si="1"/>
        <v>9108.6</v>
      </c>
      <c r="G15" s="18">
        <f>SUM(G12:G13)</f>
        <v>103994.53745184369</v>
      </c>
      <c r="H15" s="18">
        <f>SUM(H12:H14)</f>
        <v>72528.884999999995</v>
      </c>
      <c r="I15" s="18">
        <f>SUM(I12:I14)</f>
        <v>111245.075</v>
      </c>
      <c r="J15" s="18">
        <f>SUM(J12:J14)</f>
        <v>151512.07500000001</v>
      </c>
    </row>
    <row r="16" spans="1:12" x14ac:dyDescent="0.25">
      <c r="A16" t="s">
        <v>33</v>
      </c>
      <c r="B16" s="14">
        <f>B12/B39</f>
        <v>0.48616477270190656</v>
      </c>
      <c r="C16" s="14">
        <f t="shared" ref="C16:F16" si="2">C12/C39</f>
        <v>0.51</v>
      </c>
      <c r="D16" s="14">
        <f>D12/D39</f>
        <v>0.51</v>
      </c>
      <c r="E16" s="14">
        <f t="shared" si="2"/>
        <v>0.51</v>
      </c>
      <c r="F16" s="14">
        <f t="shared" si="2"/>
        <v>0.51</v>
      </c>
      <c r="G16" s="14">
        <f>'[1]Market Theatre'!K6</f>
        <v>0.35</v>
      </c>
      <c r="H16" s="14">
        <f>H12/H39</f>
        <v>0.51</v>
      </c>
      <c r="I16" s="14">
        <f>I12/I39</f>
        <v>0.4</v>
      </c>
      <c r="J16" s="14">
        <f>J12/J39</f>
        <v>0.51</v>
      </c>
      <c r="L16" s="14">
        <f>(B12-C12)/(B39-C39)</f>
        <v>0.48233991681622057</v>
      </c>
    </row>
    <row r="17" spans="1:12" x14ac:dyDescent="0.25">
      <c r="A17" t="s">
        <v>61</v>
      </c>
      <c r="B17" s="32">
        <f t="shared" ref="B17:J17" si="3">B12/B8</f>
        <v>14.255807136994207</v>
      </c>
      <c r="C17" s="32">
        <f t="shared" si="3"/>
        <v>14.943993506493506</v>
      </c>
      <c r="D17" s="32">
        <f t="shared" si="3"/>
        <v>15.612244897959179</v>
      </c>
      <c r="E17" s="32">
        <f t="shared" si="3"/>
        <v>14.376275510204078</v>
      </c>
      <c r="F17" s="32">
        <f t="shared" si="3"/>
        <v>8.5607142857142868</v>
      </c>
      <c r="G17" s="32">
        <f t="shared" si="3"/>
        <v>13.104651162790697</v>
      </c>
      <c r="H17" s="32">
        <f t="shared" si="3"/>
        <v>14.376275510204078</v>
      </c>
      <c r="I17" s="32">
        <f t="shared" si="3"/>
        <v>14.031746031746032</v>
      </c>
      <c r="J17" s="32">
        <f t="shared" si="3"/>
        <v>14.014880952380953</v>
      </c>
      <c r="L17" s="31"/>
    </row>
    <row r="18" spans="1:12" x14ac:dyDescent="0.25">
      <c r="B18" s="14"/>
      <c r="C18" s="14"/>
      <c r="D18" s="14"/>
      <c r="E18" s="14"/>
      <c r="F18" s="14"/>
      <c r="G18" s="14"/>
      <c r="H18" s="14"/>
      <c r="I18" s="14"/>
      <c r="J18" s="14"/>
      <c r="L18" s="31"/>
    </row>
    <row r="19" spans="1:12" x14ac:dyDescent="0.25">
      <c r="A19" s="15" t="s">
        <v>34</v>
      </c>
      <c r="B19" s="4"/>
      <c r="C19" s="9"/>
      <c r="D19" s="9"/>
      <c r="E19" s="9"/>
      <c r="F19" s="9"/>
      <c r="G19" s="9"/>
      <c r="H19" s="9"/>
      <c r="I19" s="9"/>
      <c r="J19" s="9"/>
    </row>
    <row r="20" spans="1:12" x14ac:dyDescent="0.25">
      <c r="A20" s="19" t="s">
        <v>35</v>
      </c>
      <c r="B20" s="4"/>
      <c r="C20" s="9"/>
      <c r="D20" s="5"/>
      <c r="E20" s="9"/>
      <c r="F20" s="9"/>
      <c r="G20" s="9"/>
      <c r="H20" s="9"/>
      <c r="I20" s="9"/>
      <c r="J20" s="9"/>
    </row>
    <row r="21" spans="1:12" x14ac:dyDescent="0.25">
      <c r="A21" t="s">
        <v>36</v>
      </c>
      <c r="B21" s="8">
        <f>SUM(C21:K21)</f>
        <v>427141.98707546567</v>
      </c>
      <c r="C21" s="20">
        <f>SUM('[1]The Hypocrite'!E30:K30)+SUM('[1]The Hypocrite'!E36:K36)+SUM('[1]The Hypocrite'!E43:K43)+SUM('[1]The Hypocrite'!E54:K54)</f>
        <v>177511.94465333334</v>
      </c>
      <c r="D21" s="9">
        <f>SUM('[1]Richard 111'!E49:H49)</f>
        <v>57364.833333333336</v>
      </c>
      <c r="E21" s="9">
        <f>SUM('[1]Clown Club'!E32:H32)</f>
        <v>25746</v>
      </c>
      <c r="F21" s="9">
        <f>SUM('[1]YT Show'!E33:H33)</f>
        <v>7738.6466666666674</v>
      </c>
      <c r="G21" s="9">
        <f>SUM('[1]Market Theatre'!E29:H29)</f>
        <v>33708.879088799025</v>
      </c>
      <c r="H21" s="9">
        <f>SUM('[1]Mighty Atoms'!E33:I33)</f>
        <v>38633.537499999999</v>
      </c>
      <c r="I21" s="9">
        <f>SUM([1]Tractors!E45:I45)</f>
        <v>39219.35</v>
      </c>
      <c r="J21" s="9">
        <f>SUM('[1]Christmas Carol'!E34:I34)</f>
        <v>47218.79583333333</v>
      </c>
    </row>
    <row r="22" spans="1:12" x14ac:dyDescent="0.25">
      <c r="A22" t="s">
        <v>37</v>
      </c>
      <c r="B22" s="8">
        <f>SUM(C22:K22)</f>
        <v>266600.2913545979</v>
      </c>
      <c r="C22" s="9">
        <f>SUM('[1]The Hypocrite'!E75:K75)</f>
        <v>84330</v>
      </c>
      <c r="D22" s="9">
        <f>SUM('[1]Richard 111'!E66:H66)</f>
        <v>27500</v>
      </c>
      <c r="E22" s="9">
        <f>SUM('[1]Clown Club'!E49:H49)</f>
        <v>25000</v>
      </c>
      <c r="F22" s="9">
        <f>'[1]YT Show'!J48</f>
        <v>18150</v>
      </c>
      <c r="G22" s="9">
        <f>SUM('[1]Market Theatre'!E50:H50)</f>
        <v>12120.291354597881</v>
      </c>
      <c r="H22" s="9">
        <f>SUM('[1]Mighty Atoms'!E51:I51)</f>
        <v>28500</v>
      </c>
      <c r="I22" s="9">
        <f>SUM([1]Tractors!E64:I64)</f>
        <v>39000</v>
      </c>
      <c r="J22" s="9">
        <f>SUM('[1]Christmas Carol'!E53:I53)</f>
        <v>32000</v>
      </c>
    </row>
    <row r="23" spans="1:12" x14ac:dyDescent="0.25">
      <c r="A23" t="s">
        <v>38</v>
      </c>
      <c r="B23" s="8">
        <f>SUM(C23:K23)</f>
        <v>234871.21700844681</v>
      </c>
      <c r="C23" s="9">
        <f>SUM('[1]The Hypocrite'!E93:K93)</f>
        <v>61000</v>
      </c>
      <c r="D23" s="9">
        <f>SUM('[1]Richard 111'!E85:H85)</f>
        <v>32500</v>
      </c>
      <c r="E23" s="9">
        <f>SUM('[1]Clown Club'!E67:H67)</f>
        <v>17200</v>
      </c>
      <c r="F23" s="9">
        <f>'[1]YT Show'!J66</f>
        <v>12450</v>
      </c>
      <c r="G23" s="9">
        <f>SUM('[1]Market Theatre'!E68:H68)</f>
        <v>33991.217008446794</v>
      </c>
      <c r="H23" s="9">
        <f>SUM('[1]Mighty Atoms'!E69:I69)</f>
        <v>22115</v>
      </c>
      <c r="I23" s="9">
        <f>SUM([1]Tractors!E82:I82)</f>
        <v>30500</v>
      </c>
      <c r="J23" s="9">
        <f>SUM('[1]Christmas Carol'!E71:I71)</f>
        <v>25115</v>
      </c>
    </row>
    <row r="24" spans="1:12" x14ac:dyDescent="0.25">
      <c r="A24" t="s">
        <v>39</v>
      </c>
      <c r="B24" s="8">
        <f>SUM(C24:K24)</f>
        <v>0</v>
      </c>
      <c r="C24" s="9"/>
      <c r="D24" s="9"/>
      <c r="E24" s="9"/>
      <c r="F24" s="9"/>
      <c r="G24" s="9"/>
      <c r="H24" s="9"/>
      <c r="I24" s="9"/>
      <c r="J24" s="9">
        <f>SUM('[1]Christmas Carol'!E78:I78)</f>
        <v>0</v>
      </c>
    </row>
    <row r="25" spans="1:12" x14ac:dyDescent="0.25">
      <c r="B25" s="21">
        <f>SUM(C25:K25)</f>
        <v>928613.49543851032</v>
      </c>
      <c r="C25" s="12">
        <f>SUM(C21:C24)</f>
        <v>322841.94465333334</v>
      </c>
      <c r="D25" s="12">
        <f>SUM(D21:D24)</f>
        <v>117364.83333333334</v>
      </c>
      <c r="E25" s="12">
        <f t="shared" ref="E25" si="4">SUM(E21:E24)</f>
        <v>67946</v>
      </c>
      <c r="F25" s="12">
        <f>SUM(F21:F24)</f>
        <v>38338.646666666667</v>
      </c>
      <c r="G25" s="12">
        <f>SUM(G21:G24)</f>
        <v>79820.387451843708</v>
      </c>
      <c r="H25" s="12">
        <f>SUM(H21:H24)</f>
        <v>89248.537500000006</v>
      </c>
      <c r="I25" s="12">
        <f>SUM(I21:I24)</f>
        <v>108719.35</v>
      </c>
      <c r="J25" s="12">
        <f>SUM(J21:J24)</f>
        <v>104333.79583333334</v>
      </c>
      <c r="L25" s="16"/>
    </row>
    <row r="26" spans="1:12" x14ac:dyDescent="0.25">
      <c r="B26" s="4"/>
      <c r="C26" s="9"/>
      <c r="D26" s="9"/>
      <c r="E26" s="9"/>
      <c r="F26" s="9"/>
      <c r="G26" s="9"/>
      <c r="H26" s="9"/>
      <c r="I26" s="9"/>
      <c r="J26" s="9"/>
    </row>
    <row r="27" spans="1:12" x14ac:dyDescent="0.25">
      <c r="A27" s="22" t="s">
        <v>40</v>
      </c>
      <c r="B27" s="4"/>
      <c r="C27" s="9"/>
      <c r="D27" s="9"/>
      <c r="E27" s="9"/>
      <c r="F27" s="9"/>
      <c r="G27" s="9"/>
      <c r="H27" s="9"/>
      <c r="I27" s="9"/>
      <c r="J27" s="9"/>
    </row>
    <row r="28" spans="1:12" x14ac:dyDescent="0.25">
      <c r="A28" t="s">
        <v>41</v>
      </c>
      <c r="B28" s="8">
        <f t="shared" ref="B28:B33" si="5">SUM(C28:K28)</f>
        <v>243774.94559719972</v>
      </c>
      <c r="C28" s="9">
        <f>SUM('[1]The Hypocrite'!L30:N30)+SUM('[1]The Hypocrite'!L36:N36)+SUM('[1]The Hypocrite'!L43:N43)+SUM('[1]The Hypocrite'!L54:N54)</f>
        <v>74881.387575000001</v>
      </c>
      <c r="D28" s="9">
        <f>SUM('[1]Richard 111'!I49:L49)</f>
        <v>43942.5</v>
      </c>
      <c r="E28" s="9">
        <f>SUM('[1]Clown Club'!I32:K32)</f>
        <v>18567</v>
      </c>
      <c r="F28" s="9">
        <f>'[1]YT Show'!I33</f>
        <v>1894.6616666666666</v>
      </c>
      <c r="G28" s="9">
        <f>'[1]Market Theatre'!I29</f>
        <v>8414.7197721997563</v>
      </c>
      <c r="H28" s="9">
        <f>SUM('[1]Mighty Atoms'!J33:M33)</f>
        <v>21795.802499999998</v>
      </c>
      <c r="I28" s="9">
        <f>SUM([1]Tractors!J45:L45)</f>
        <v>23536.1</v>
      </c>
      <c r="J28" s="9">
        <f>SUM('[1]Christmas Carol'!J34:O34)</f>
        <v>50742.77408333333</v>
      </c>
    </row>
    <row r="29" spans="1:12" x14ac:dyDescent="0.25">
      <c r="A29" t="s">
        <v>37</v>
      </c>
      <c r="B29" s="8">
        <f t="shared" si="5"/>
        <v>7828.8579119906199</v>
      </c>
      <c r="C29" s="9">
        <f>SUM('[1]The Hypocrite'!L75:N75)</f>
        <v>2647</v>
      </c>
      <c r="D29" s="9">
        <f>SUM('[1]Richard 111'!I66:L66)</f>
        <v>0</v>
      </c>
      <c r="E29" s="9">
        <f>SUM('[1]Clown Club'!I49:K49)</f>
        <v>500</v>
      </c>
      <c r="F29" s="9">
        <v>0</v>
      </c>
      <c r="G29" s="9">
        <f>'[1]Market Theatre'!I50</f>
        <v>3681.8579119906199</v>
      </c>
      <c r="H29" s="9">
        <f>SUM('[1]Mighty Atoms'!J51:M51)</f>
        <v>500</v>
      </c>
      <c r="I29" s="9">
        <f>SUM([1]Tractors!J64:L64)</f>
        <v>0</v>
      </c>
      <c r="J29" s="9">
        <f>SUM('[1]Christmas Carol'!J53:O53)</f>
        <v>500</v>
      </c>
    </row>
    <row r="30" spans="1:12" x14ac:dyDescent="0.25">
      <c r="A30" t="s">
        <v>38</v>
      </c>
      <c r="B30" s="8">
        <f t="shared" si="5"/>
        <v>19350.095238095237</v>
      </c>
      <c r="C30" s="9">
        <f>SUM('[1]The Hypocrite'!L93:N93)</f>
        <v>2000</v>
      </c>
      <c r="D30" s="9">
        <f>SUM('[1]Richard 111'!I85:L85)</f>
        <v>0</v>
      </c>
      <c r="E30" s="9">
        <f>SUM('[1]Clown Club'!I67:K67)</f>
        <v>0</v>
      </c>
      <c r="F30" s="9">
        <f>'[1]YT Show'!J74</f>
        <v>11085.095238095239</v>
      </c>
      <c r="G30" s="9">
        <f>'[1]Market Theatre'!I68</f>
        <v>3265</v>
      </c>
      <c r="H30" s="9">
        <f>SUM('[1]Mighty Atoms'!J69:M69)</f>
        <v>0</v>
      </c>
      <c r="I30" s="9">
        <f>SUM([1]Tractors!J82:L82)</f>
        <v>3000</v>
      </c>
      <c r="J30" s="9">
        <f>SUM('[1]Christmas Carol'!J71:O71)</f>
        <v>0</v>
      </c>
    </row>
    <row r="31" spans="1:12" x14ac:dyDescent="0.25">
      <c r="A31" t="s">
        <v>42</v>
      </c>
      <c r="B31" s="8">
        <f t="shared" si="5"/>
        <v>80408.060428571422</v>
      </c>
      <c r="C31" s="9">
        <f>SUM('[1]The Hypocrite'!L101:N101)</f>
        <v>19135.095238095237</v>
      </c>
      <c r="D31" s="9">
        <f>SUM('[1]Richard 111'!I92:L92)</f>
        <v>8635.0952380952385</v>
      </c>
      <c r="E31" s="9">
        <f>SUM('[1]Clown Club'!I74:K74)</f>
        <v>8685.0952380952385</v>
      </c>
      <c r="F31" s="9">
        <f>'[1]YT Show'!J79</f>
        <v>1047.489</v>
      </c>
      <c r="G31" s="9">
        <f>'[1]Market Theatre'!I74</f>
        <v>50</v>
      </c>
      <c r="H31" s="9">
        <f>SUM('[1]Mighty Atoms'!J77:M77)</f>
        <v>24735.095238095237</v>
      </c>
      <c r="I31" s="9">
        <f>SUM([1]Tractors!J89:L89)</f>
        <v>9135.0952380952385</v>
      </c>
      <c r="J31" s="9">
        <f>SUM('[1]Christmas Carol'!J78:O78)</f>
        <v>8985.0952380952385</v>
      </c>
    </row>
    <row r="32" spans="1:12" x14ac:dyDescent="0.25">
      <c r="A32" t="s">
        <v>43</v>
      </c>
      <c r="B32" s="8">
        <f t="shared" si="5"/>
        <v>62247.803475000008</v>
      </c>
      <c r="C32" s="9">
        <f>SUM('[1]The Hypocrite'!L106:N106)</f>
        <v>10662.730650000001</v>
      </c>
      <c r="D32" s="9">
        <f>SUM('[1]Richard 111'!I97:L97)</f>
        <v>0</v>
      </c>
      <c r="E32" s="9">
        <f>SUM('[1]Clown Club'!I79:K79)</f>
        <v>9791.3994750000002</v>
      </c>
      <c r="F32" s="9">
        <f>SUM('[1]Rev Mix R&amp;D'!F66:F66)</f>
        <v>121.62150000000001</v>
      </c>
      <c r="G32" s="9">
        <f>'[1]Market Theatre'!I79</f>
        <v>3746.9932499999995</v>
      </c>
      <c r="H32" s="9">
        <f>SUM('[1]Mighty Atoms'!M80:M81)</f>
        <v>9791.3994750000002</v>
      </c>
      <c r="I32" s="9">
        <f>SUM([1]Tractors!J94:L94)</f>
        <v>7679.5290000000014</v>
      </c>
      <c r="J32" s="9">
        <f>SUM('[1]Christmas Carol'!J83:O83)</f>
        <v>20454.130125000003</v>
      </c>
    </row>
    <row r="33" spans="1:13" x14ac:dyDescent="0.25">
      <c r="B33" s="21">
        <f t="shared" si="5"/>
        <v>413609.76265085698</v>
      </c>
      <c r="C33" s="12">
        <f t="shared" ref="C33" si="6">SUM(C28:C32)</f>
        <v>109326.21346309524</v>
      </c>
      <c r="D33" s="12">
        <f>SUM(D28:D32)</f>
        <v>52577.595238095237</v>
      </c>
      <c r="E33" s="12">
        <f t="shared" ref="E33:J33" si="7">SUM(E28:E32)</f>
        <v>37543.494713095235</v>
      </c>
      <c r="F33" s="12">
        <f t="shared" si="7"/>
        <v>14148.867404761904</v>
      </c>
      <c r="G33" s="12">
        <f t="shared" si="7"/>
        <v>19158.570934190375</v>
      </c>
      <c r="H33" s="12">
        <f t="shared" si="7"/>
        <v>56822.297213095233</v>
      </c>
      <c r="I33" s="12">
        <f>SUM(I28:I32)</f>
        <v>43350.724238095238</v>
      </c>
      <c r="J33" s="12">
        <f t="shared" si="7"/>
        <v>80681.99944642857</v>
      </c>
    </row>
    <row r="34" spans="1:13" x14ac:dyDescent="0.25">
      <c r="B34" s="4"/>
      <c r="C34" s="9"/>
      <c r="D34" s="9"/>
      <c r="E34" s="9"/>
      <c r="F34" s="9"/>
      <c r="G34" s="9"/>
      <c r="H34" s="9"/>
      <c r="I34" s="9"/>
      <c r="J34" s="9"/>
    </row>
    <row r="35" spans="1:13" x14ac:dyDescent="0.25">
      <c r="A35" t="s">
        <v>44</v>
      </c>
      <c r="B35" s="17">
        <f>SUM(C35:K35)</f>
        <v>1342223.2580893673</v>
      </c>
      <c r="C35" s="18">
        <f>C25+C33</f>
        <v>432168.15811642859</v>
      </c>
      <c r="D35" s="18">
        <f>D25+D33</f>
        <v>169942.42857142858</v>
      </c>
      <c r="E35" s="18">
        <f t="shared" ref="E35" si="8">E25+E33</f>
        <v>105489.49471309524</v>
      </c>
      <c r="F35" s="18">
        <f>F25+F33</f>
        <v>52487.514071428574</v>
      </c>
      <c r="G35" s="18">
        <f>G25+G33</f>
        <v>98978.958386034079</v>
      </c>
      <c r="H35" s="18">
        <f>H25+H33</f>
        <v>146070.83471309525</v>
      </c>
      <c r="I35" s="18">
        <f>I25+I33</f>
        <v>152070.07423809526</v>
      </c>
      <c r="J35" s="18">
        <f>J25+J33</f>
        <v>185015.79527976189</v>
      </c>
    </row>
    <row r="36" spans="1:13" x14ac:dyDescent="0.25">
      <c r="B36" s="4"/>
      <c r="C36" s="9"/>
      <c r="D36" s="9"/>
      <c r="E36" s="9"/>
      <c r="F36" s="9"/>
      <c r="G36" s="9"/>
      <c r="H36" s="9"/>
      <c r="I36" s="9"/>
      <c r="J36" s="9"/>
    </row>
    <row r="37" spans="1:13" x14ac:dyDescent="0.25">
      <c r="A37" s="15" t="s">
        <v>45</v>
      </c>
      <c r="B37" s="23">
        <f>SUM(C37:K37)</f>
        <v>-403910.49491485703</v>
      </c>
      <c r="C37" s="24">
        <f t="shared" ref="C37:G37" si="9">C15-C35</f>
        <v>-94911.412393761857</v>
      </c>
      <c r="D37" s="24">
        <f>D15-D35</f>
        <v>-89804.468571428588</v>
      </c>
      <c r="E37" s="24">
        <f t="shared" si="9"/>
        <v>-32960.60971309524</v>
      </c>
      <c r="F37" s="24">
        <f t="shared" si="9"/>
        <v>-43378.914071428575</v>
      </c>
      <c r="G37" s="24">
        <f t="shared" si="9"/>
        <v>5015.5790658096084</v>
      </c>
      <c r="H37" s="24">
        <f>H15-H35</f>
        <v>-73541.949713095251</v>
      </c>
      <c r="I37" s="24">
        <f>I15-I35</f>
        <v>-40824.999238095261</v>
      </c>
      <c r="J37" s="24">
        <f>J15-J35</f>
        <v>-33503.720279761881</v>
      </c>
    </row>
    <row r="38" spans="1:13" x14ac:dyDescent="0.25">
      <c r="C38" s="16"/>
      <c r="D38" s="16"/>
      <c r="E38" s="16"/>
      <c r="F38" s="16"/>
      <c r="G38" s="16"/>
      <c r="H38" s="16"/>
      <c r="I38" s="16"/>
      <c r="J38" s="16"/>
    </row>
    <row r="39" spans="1:13" x14ac:dyDescent="0.25">
      <c r="B39" s="16">
        <f>SUM(C39:K39)</f>
        <v>1119961</v>
      </c>
      <c r="C39" s="16">
        <f>'[1]The Hypocrite'!H6</f>
        <v>154869</v>
      </c>
      <c r="D39" s="16">
        <f>'[1]Richard 111'!F6</f>
        <v>154440</v>
      </c>
      <c r="E39" s="16">
        <f>'[1]Clown Club'!I5</f>
        <v>142213.5</v>
      </c>
      <c r="F39" s="16">
        <f>'[1]YT Show'!G5</f>
        <v>17860</v>
      </c>
      <c r="G39" s="16">
        <f>'[1]Market Theatre'!I5</f>
        <v>69069</v>
      </c>
      <c r="H39" s="16">
        <f>'[1]Mighty Atoms'!H5</f>
        <v>142213.5</v>
      </c>
      <c r="I39" s="16">
        <f>[1]Tractors!H6</f>
        <v>142213.5</v>
      </c>
      <c r="J39" s="16">
        <f>'[1]Christmas Carol'!F4</f>
        <v>297082.5</v>
      </c>
    </row>
    <row r="40" spans="1:13" x14ac:dyDescent="0.25">
      <c r="B40" s="25"/>
      <c r="C40" s="25"/>
      <c r="D40" s="25"/>
      <c r="E40" s="25"/>
      <c r="F40" s="25"/>
      <c r="G40" s="25"/>
      <c r="I40" s="25"/>
      <c r="J40" s="25"/>
      <c r="M40" s="25"/>
    </row>
    <row r="41" spans="1:13" x14ac:dyDescent="0.25">
      <c r="A41" t="s">
        <v>46</v>
      </c>
      <c r="B41" s="26">
        <f>B37</f>
        <v>-403910.49491485703</v>
      </c>
      <c r="C41" s="25"/>
      <c r="D41" s="25"/>
      <c r="E41" s="25"/>
      <c r="F41" s="25"/>
      <c r="G41" s="25"/>
      <c r="I41" s="25"/>
      <c r="J41" s="25"/>
      <c r="M41" s="25"/>
    </row>
    <row r="42" spans="1:13" x14ac:dyDescent="0.25">
      <c r="A42" t="s">
        <v>47</v>
      </c>
      <c r="B42" s="26">
        <v>69912</v>
      </c>
      <c r="D42" s="25"/>
      <c r="E42" s="25"/>
      <c r="F42" s="25"/>
      <c r="G42" s="25"/>
      <c r="I42" s="26"/>
      <c r="J42" s="25"/>
    </row>
    <row r="43" spans="1:13" x14ac:dyDescent="0.25">
      <c r="A43" t="s">
        <v>48</v>
      </c>
      <c r="B43" s="26">
        <f>SUM(-30000-'[1]Increased capacity'!I14)</f>
        <v>-49008</v>
      </c>
      <c r="I43" s="26"/>
      <c r="J43" s="27"/>
    </row>
    <row r="44" spans="1:13" x14ac:dyDescent="0.25">
      <c r="A44" t="s">
        <v>49</v>
      </c>
      <c r="B44" s="26">
        <f>-'[1]Engagement Programme'!G37-'[1]Increased capacity'!H3</f>
        <v>-33771.199999999997</v>
      </c>
      <c r="I44" s="26"/>
      <c r="J44" s="27"/>
    </row>
    <row r="45" spans="1:13" x14ac:dyDescent="0.25">
      <c r="A45" t="s">
        <v>50</v>
      </c>
      <c r="B45" s="26">
        <f>-SUM('[1]Engagement Programme'!G51+'[1]Engagement Programme'!G42)</f>
        <v>-11500</v>
      </c>
      <c r="I45" s="26"/>
      <c r="J45" s="27"/>
    </row>
    <row r="46" spans="1:13" x14ac:dyDescent="0.25">
      <c r="A46" t="s">
        <v>51</v>
      </c>
      <c r="B46" s="26">
        <v>-7500</v>
      </c>
      <c r="C46" s="25"/>
      <c r="D46" s="26"/>
      <c r="E46" s="25"/>
      <c r="F46" s="25"/>
      <c r="G46" s="25"/>
      <c r="I46" s="26"/>
      <c r="J46" s="27"/>
    </row>
    <row r="47" spans="1:13" x14ac:dyDescent="0.25">
      <c r="A47" t="s">
        <v>52</v>
      </c>
      <c r="B47" s="26">
        <f>+-9203</f>
        <v>-9203</v>
      </c>
      <c r="C47" s="25"/>
      <c r="D47" s="26"/>
      <c r="E47" s="25"/>
      <c r="F47" s="25"/>
      <c r="G47" s="25"/>
      <c r="I47" s="25"/>
      <c r="M47" s="26"/>
    </row>
    <row r="48" spans="1:13" x14ac:dyDescent="0.25">
      <c r="A48" t="s">
        <v>53</v>
      </c>
      <c r="B48" s="25">
        <f>SUM(B41*0.05)</f>
        <v>-20195.524745742852</v>
      </c>
      <c r="D48" s="26"/>
      <c r="E48" s="25"/>
      <c r="F48" s="25"/>
      <c r="G48" s="25"/>
      <c r="I48" s="25"/>
      <c r="J48" s="27"/>
      <c r="M48" s="25"/>
    </row>
    <row r="49" spans="1:13" x14ac:dyDescent="0.25">
      <c r="A49" t="s">
        <v>54</v>
      </c>
      <c r="B49" s="26">
        <v>-45000</v>
      </c>
      <c r="C49" s="25"/>
      <c r="D49" s="26" t="s">
        <v>55</v>
      </c>
      <c r="E49" s="25"/>
      <c r="F49" s="25"/>
      <c r="G49" s="25"/>
      <c r="I49" s="25"/>
      <c r="J49" s="25"/>
      <c r="M49" s="25"/>
    </row>
    <row r="50" spans="1:13" x14ac:dyDescent="0.25">
      <c r="A50" t="s">
        <v>56</v>
      </c>
      <c r="B50" s="26">
        <f>SUM(B41:B49)</f>
        <v>-510176.21966059989</v>
      </c>
      <c r="C50" s="26"/>
      <c r="D50" s="26"/>
      <c r="E50" s="26"/>
      <c r="F50" s="26"/>
      <c r="G50" s="26"/>
      <c r="I50" s="26"/>
      <c r="J50" s="25"/>
      <c r="M50" s="26"/>
    </row>
    <row r="51" spans="1:13" x14ac:dyDescent="0.25">
      <c r="C51" s="25"/>
      <c r="D51" s="25"/>
      <c r="E51" s="25"/>
      <c r="F51" s="25"/>
      <c r="G51" s="25"/>
      <c r="I51" s="25"/>
      <c r="J51" s="25"/>
      <c r="L51" s="28"/>
      <c r="M51" s="25"/>
    </row>
    <row r="52" spans="1:13" x14ac:dyDescent="0.25">
      <c r="A52" t="s">
        <v>57</v>
      </c>
      <c r="B52" s="28">
        <v>650000</v>
      </c>
      <c r="C52" s="25"/>
      <c r="D52" s="26"/>
      <c r="E52" s="25"/>
      <c r="F52" s="25"/>
      <c r="G52" s="25"/>
      <c r="I52" s="25"/>
      <c r="J52" s="25"/>
      <c r="M52" s="25"/>
    </row>
    <row r="53" spans="1:13" x14ac:dyDescent="0.25">
      <c r="C53" s="25"/>
      <c r="D53" s="26"/>
      <c r="E53" s="25"/>
      <c r="F53" s="25"/>
      <c r="G53" s="25"/>
      <c r="I53" s="25"/>
      <c r="J53" s="25"/>
      <c r="M53" s="25"/>
    </row>
    <row r="54" spans="1:13" x14ac:dyDescent="0.25">
      <c r="B54" s="25"/>
      <c r="C54" s="25"/>
      <c r="D54" s="25"/>
      <c r="E54" s="25"/>
      <c r="F54" s="25"/>
      <c r="G54" s="25"/>
      <c r="I54" s="25"/>
      <c r="J54" s="25"/>
      <c r="M54" s="25"/>
    </row>
    <row r="55" spans="1:13" x14ac:dyDescent="0.25">
      <c r="A55" s="29" t="s">
        <v>58</v>
      </c>
      <c r="B55" s="30">
        <f>B50+B52</f>
        <v>139823.78033940011</v>
      </c>
      <c r="J55" s="16"/>
      <c r="M55" s="16"/>
    </row>
    <row r="56" spans="1:13" x14ac:dyDescent="0.25">
      <c r="J56" s="16"/>
      <c r="M56" s="16"/>
    </row>
    <row r="57" spans="1:13" x14ac:dyDescent="0.25">
      <c r="A57" s="15" t="s">
        <v>59</v>
      </c>
      <c r="B57" s="15">
        <v>30000</v>
      </c>
      <c r="C57" t="s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7FA7E3-2378-4752-A2DA-D94AED7E2CDA}"/>
</file>

<file path=customXml/itemProps2.xml><?xml version="1.0" encoding="utf-8"?>
<ds:datastoreItem xmlns:ds="http://schemas.openxmlformats.org/officeDocument/2006/customXml" ds:itemID="{A490B417-7DDF-41B2-8E98-103433DF9028}"/>
</file>

<file path=customXml/itemProps3.xml><?xml version="1.0" encoding="utf-8"?>
<ds:datastoreItem xmlns:ds="http://schemas.openxmlformats.org/officeDocument/2006/customXml" ds:itemID="{BAD73977-C118-41B5-B141-90EFBC06E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Rutter</dc:creator>
  <cp:lastModifiedBy>Duckworth Henrietta</cp:lastModifiedBy>
  <dcterms:created xsi:type="dcterms:W3CDTF">2016-04-20T12:00:42Z</dcterms:created>
  <dcterms:modified xsi:type="dcterms:W3CDTF">2016-05-03T20:59:26Z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