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3.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customXml/itemProps3.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customXml/itemProps1.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externalLinks/externalLink1.xml" ContentType="application/vnd.openxmlformats-officedocument.spreadsheetml.externalLink+xml"/>
  <Override PartName="/xl/comments3.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docProps/core.xml" ContentType="application/vnd.openxmlformats-package.core-properties+xml"/>
  <Override PartName="/xl/comments4.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7913"/>
  <workbookPr defaultThemeVersion="124226"/>
  <mc:AlternateContent xmlns:mc="http://schemas.openxmlformats.org/markup-compatibility/2006">
    <mc:Choice Requires="x15">
      <x15ac:absPath xmlns:x15ac="http://schemas.microsoft.com/office/spreadsheetml/2010/11/ac" url="https://hull2017.sharepoint.com/Projects/Back to Ours/A_Budget/"/>
    </mc:Choice>
  </mc:AlternateContent>
  <xr:revisionPtr revIDLastSave="0" documentId="3CFF8EF9D480B899BF8848AF5F39179DD7003D08" xr6:coauthVersionLast="14" xr6:coauthVersionMax="14" xr10:uidLastSave="{00000000-0000-0000-0000-000000000000}"/>
  <bookViews>
    <workbookView xWindow="75" yWindow="75" windowWidth="15270" windowHeight="6600" tabRatio="847" xr2:uid="{00000000-000D-0000-FFFF-FFFF00000000}"/>
  </bookViews>
  <sheets>
    <sheet name="Summary" sheetId="1" r:id="rId1"/>
    <sheet name="Area Festivals" sheetId="2" r:id="rId2"/>
    <sheet name="Feb 17" sheetId="4" r:id="rId3"/>
    <sheet name="May 17" sheetId="24" r:id="rId4"/>
    <sheet name="Notes" sheetId="5" r:id="rId5"/>
    <sheet name="Budget Forecast" sheetId="23" r:id="rId6"/>
    <sheet name="British Film Institute BFI" sheetId="22" r:id="rId7"/>
    <sheet name="Sheet3" sheetId="3" state="hidden" r:id="rId8"/>
  </sheets>
  <externalReferences>
    <externalReference r:id="rId9"/>
  </externalReferences>
  <calcPr calcId="171026"/>
</workbook>
</file>

<file path=xl/calcChain.xml><?xml version="1.0" encoding="utf-8"?>
<calcChain xmlns="http://schemas.openxmlformats.org/spreadsheetml/2006/main">
  <c r="E26" i="23" l="1"/>
  <c r="U28" i="23"/>
  <c r="P5" i="23"/>
  <c r="P6" i="23"/>
  <c r="P7" i="23"/>
  <c r="P8" i="23"/>
  <c r="P9" i="23"/>
  <c r="P10" i="23"/>
  <c r="P11" i="23"/>
  <c r="P12" i="23"/>
  <c r="P13" i="23"/>
  <c r="P14" i="23"/>
  <c r="P15" i="23"/>
  <c r="P16" i="23"/>
  <c r="P17" i="23"/>
  <c r="P18" i="23"/>
  <c r="P19" i="23"/>
  <c r="P20" i="23"/>
  <c r="P21" i="23"/>
  <c r="P22" i="23"/>
  <c r="P23" i="23"/>
  <c r="P24" i="23"/>
  <c r="P25" i="23"/>
  <c r="P27" i="23"/>
  <c r="P28" i="23"/>
  <c r="P29" i="23"/>
  <c r="P30" i="23"/>
  <c r="P31" i="23"/>
  <c r="P32" i="23"/>
  <c r="P33" i="23"/>
  <c r="P34" i="23"/>
  <c r="P35" i="23"/>
  <c r="P36" i="23"/>
  <c r="P37" i="23"/>
  <c r="P4" i="23"/>
  <c r="P46" i="23"/>
  <c r="U37" i="23"/>
  <c r="T37" i="23"/>
  <c r="U25" i="23"/>
  <c r="U22" i="23"/>
  <c r="U7" i="23"/>
  <c r="U51" i="23"/>
  <c r="W51" i="23"/>
  <c r="X51" i="23"/>
  <c r="Y51" i="23"/>
  <c r="Z51" i="23"/>
  <c r="AA51" i="23"/>
  <c r="AB51" i="23"/>
  <c r="AC51" i="23"/>
  <c r="AD51" i="23"/>
  <c r="AE51" i="23"/>
  <c r="AF51" i="23"/>
  <c r="AG51" i="23"/>
  <c r="T51" i="23"/>
  <c r="G15" i="1"/>
  <c r="H42" i="1"/>
  <c r="E49" i="1"/>
  <c r="D49" i="1"/>
  <c r="D48" i="1"/>
  <c r="E48" i="1"/>
  <c r="V47" i="23"/>
  <c r="AN47" i="23"/>
  <c r="V46" i="23"/>
  <c r="AN46" i="23"/>
  <c r="M44" i="23"/>
  <c r="P44" i="23"/>
  <c r="V44" i="23"/>
  <c r="AN44" i="23"/>
  <c r="M50" i="23"/>
  <c r="P50" i="23"/>
  <c r="V50" i="23"/>
  <c r="AN50" i="23"/>
  <c r="L43" i="23"/>
  <c r="P43" i="23"/>
  <c r="V43" i="23"/>
  <c r="L48" i="23"/>
  <c r="P48" i="23"/>
  <c r="V48" i="23"/>
  <c r="AN48" i="23"/>
  <c r="L45" i="23"/>
  <c r="P45" i="23"/>
  <c r="V45" i="23"/>
  <c r="AN45" i="23"/>
  <c r="N47" i="23"/>
  <c r="P47" i="23"/>
  <c r="A49" i="23"/>
  <c r="O49" i="23"/>
  <c r="C7" i="1"/>
  <c r="C50" i="1"/>
  <c r="D50" i="1"/>
  <c r="E50" i="1"/>
  <c r="E8" i="1"/>
  <c r="F51" i="23"/>
  <c r="G51" i="23"/>
  <c r="H51" i="23"/>
  <c r="I51" i="23"/>
  <c r="J51" i="23"/>
  <c r="K51" i="23"/>
  <c r="E51" i="23"/>
  <c r="F26" i="23"/>
  <c r="C8" i="1"/>
  <c r="D8" i="1"/>
  <c r="F8" i="1"/>
  <c r="N51" i="23"/>
  <c r="P49" i="23"/>
  <c r="V49" i="23"/>
  <c r="AN49" i="23"/>
  <c r="AN51" i="23"/>
  <c r="O51" i="23"/>
  <c r="L51" i="23"/>
  <c r="AN43" i="23"/>
  <c r="M51" i="23"/>
  <c r="H56" i="23"/>
  <c r="V51" i="23"/>
  <c r="P51" i="23"/>
  <c r="E56" i="23"/>
  <c r="C7" i="22"/>
  <c r="C8" i="22"/>
  <c r="C9" i="22"/>
  <c r="C10" i="22"/>
  <c r="C6" i="22"/>
  <c r="F13" i="22"/>
  <c r="E13" i="22"/>
  <c r="D13" i="22"/>
  <c r="K56" i="23"/>
  <c r="R9" i="1"/>
  <c r="O6" i="1"/>
  <c r="AB31" i="4"/>
  <c r="B111" i="24"/>
  <c r="C111" i="24"/>
  <c r="D111" i="24"/>
  <c r="E111" i="24"/>
  <c r="F111" i="24"/>
  <c r="G111" i="24"/>
  <c r="H111" i="24"/>
  <c r="J111" i="24"/>
  <c r="K111" i="24"/>
  <c r="L111" i="24"/>
  <c r="M111" i="24"/>
  <c r="N111" i="24"/>
  <c r="O111" i="24"/>
  <c r="P111" i="24"/>
  <c r="R111" i="24"/>
  <c r="S111" i="24"/>
  <c r="T111" i="24"/>
  <c r="U111" i="24"/>
  <c r="V111" i="24"/>
  <c r="W111" i="24"/>
  <c r="X111" i="24"/>
  <c r="B37" i="1"/>
  <c r="B38" i="1"/>
  <c r="D38" i="1"/>
  <c r="E38" i="1"/>
  <c r="B39" i="1"/>
  <c r="D39" i="1"/>
  <c r="E39" i="1"/>
  <c r="B40" i="1"/>
  <c r="D40" i="1"/>
  <c r="B41" i="1"/>
  <c r="D41" i="1"/>
  <c r="E41" i="1"/>
  <c r="B42" i="1"/>
  <c r="D42" i="1"/>
  <c r="E42" i="1"/>
  <c r="B43" i="1"/>
  <c r="D43" i="1"/>
  <c r="E43" i="1"/>
  <c r="F43" i="1"/>
  <c r="B44" i="1"/>
  <c r="D44" i="1"/>
  <c r="E44" i="1"/>
  <c r="B36" i="1"/>
  <c r="D36" i="1"/>
  <c r="B22" i="1"/>
  <c r="B21" i="1"/>
  <c r="D21" i="1"/>
  <c r="F21" i="1"/>
  <c r="E21" i="1"/>
  <c r="J83" i="2"/>
  <c r="G83" i="2"/>
  <c r="K83" i="2"/>
  <c r="J84" i="2"/>
  <c r="G84" i="2"/>
  <c r="K84" i="2"/>
  <c r="O84" i="2"/>
  <c r="I85" i="2"/>
  <c r="G85" i="2"/>
  <c r="K85" i="2"/>
  <c r="O85" i="2"/>
  <c r="G86" i="2"/>
  <c r="K86" i="2"/>
  <c r="G87" i="2"/>
  <c r="K87" i="2"/>
  <c r="O87" i="2"/>
  <c r="L87" i="2"/>
  <c r="J88" i="2"/>
  <c r="G88" i="2"/>
  <c r="K88" i="2"/>
  <c r="O88" i="2"/>
  <c r="L88" i="2"/>
  <c r="J89" i="2"/>
  <c r="G89" i="2"/>
  <c r="K89" i="2"/>
  <c r="L89" i="2"/>
  <c r="J75" i="2"/>
  <c r="G75" i="2"/>
  <c r="K75" i="2"/>
  <c r="L75" i="2"/>
  <c r="J76" i="2"/>
  <c r="G76" i="2"/>
  <c r="K76" i="2"/>
  <c r="J77" i="2"/>
  <c r="G77" i="2"/>
  <c r="K77" i="2"/>
  <c r="J78" i="2"/>
  <c r="G78" i="2"/>
  <c r="K78" i="2"/>
  <c r="J79" i="2"/>
  <c r="G79" i="2"/>
  <c r="K79" i="2"/>
  <c r="L79" i="2"/>
  <c r="I66" i="2"/>
  <c r="L66" i="2"/>
  <c r="J66" i="2"/>
  <c r="G66" i="2"/>
  <c r="K66" i="2"/>
  <c r="O66" i="2"/>
  <c r="I67" i="2"/>
  <c r="J67" i="2"/>
  <c r="G67" i="2"/>
  <c r="K67" i="2"/>
  <c r="O67" i="2"/>
  <c r="L67" i="2"/>
  <c r="I68" i="2"/>
  <c r="G68" i="2"/>
  <c r="K68" i="2"/>
  <c r="L68" i="2"/>
  <c r="I69" i="2"/>
  <c r="J69" i="2"/>
  <c r="C69" i="2"/>
  <c r="G69" i="2"/>
  <c r="J70" i="2"/>
  <c r="L70" i="2"/>
  <c r="J51" i="2"/>
  <c r="G51" i="2"/>
  <c r="K51" i="2"/>
  <c r="O51" i="2"/>
  <c r="S51" i="2"/>
  <c r="J52" i="2"/>
  <c r="L52" i="2"/>
  <c r="G52" i="2"/>
  <c r="K52" i="2"/>
  <c r="I53" i="2"/>
  <c r="G53" i="2"/>
  <c r="K53" i="2"/>
  <c r="O53" i="2"/>
  <c r="P53" i="2"/>
  <c r="G54" i="2"/>
  <c r="G55" i="2"/>
  <c r="K55" i="2"/>
  <c r="O55" i="2"/>
  <c r="L55" i="2"/>
  <c r="J56" i="2"/>
  <c r="G56" i="2"/>
  <c r="K56" i="2"/>
  <c r="O56" i="2"/>
  <c r="S56" i="2"/>
  <c r="L56" i="2"/>
  <c r="J57" i="2"/>
  <c r="G57" i="2"/>
  <c r="K57" i="2"/>
  <c r="L57" i="2"/>
  <c r="J43" i="2"/>
  <c r="G43" i="2"/>
  <c r="K43" i="2"/>
  <c r="J44" i="2"/>
  <c r="G44" i="2"/>
  <c r="K44" i="2"/>
  <c r="L44" i="2"/>
  <c r="J45" i="2"/>
  <c r="G45" i="2"/>
  <c r="K45" i="2"/>
  <c r="J46" i="2"/>
  <c r="G46" i="2"/>
  <c r="K46" i="2"/>
  <c r="J47" i="2"/>
  <c r="G47" i="2"/>
  <c r="K47" i="2"/>
  <c r="I34" i="2"/>
  <c r="J34" i="2"/>
  <c r="G34" i="2"/>
  <c r="K34" i="2"/>
  <c r="O34" i="2"/>
  <c r="L34" i="2"/>
  <c r="I35" i="2"/>
  <c r="J35" i="2"/>
  <c r="G35" i="2"/>
  <c r="K35" i="2"/>
  <c r="I36" i="2"/>
  <c r="G36" i="2"/>
  <c r="K36" i="2"/>
  <c r="I37" i="2"/>
  <c r="J37" i="2"/>
  <c r="C37" i="2"/>
  <c r="G37" i="2"/>
  <c r="K37" i="2"/>
  <c r="O37" i="2"/>
  <c r="S37" i="2"/>
  <c r="J38" i="2"/>
  <c r="L38" i="2"/>
  <c r="J19" i="2"/>
  <c r="L19" i="2"/>
  <c r="G19" i="2"/>
  <c r="K19" i="2"/>
  <c r="J20" i="2"/>
  <c r="G20" i="2"/>
  <c r="K20" i="2"/>
  <c r="O20" i="2"/>
  <c r="I21" i="2"/>
  <c r="G21" i="2"/>
  <c r="K21" i="2"/>
  <c r="O21" i="2"/>
  <c r="G22" i="2"/>
  <c r="K22" i="2"/>
  <c r="L22" i="2"/>
  <c r="G23" i="2"/>
  <c r="K23" i="2"/>
  <c r="J24" i="2"/>
  <c r="G24" i="2"/>
  <c r="K24" i="2"/>
  <c r="J25" i="2"/>
  <c r="G25" i="2"/>
  <c r="K25" i="2"/>
  <c r="J11" i="2"/>
  <c r="G11" i="2"/>
  <c r="K11" i="2"/>
  <c r="L11" i="2"/>
  <c r="J12" i="2"/>
  <c r="G12" i="2"/>
  <c r="K12" i="2"/>
  <c r="J13" i="2"/>
  <c r="G13" i="2"/>
  <c r="K13" i="2"/>
  <c r="J14" i="2"/>
  <c r="G14" i="2"/>
  <c r="K14" i="2"/>
  <c r="J15" i="2"/>
  <c r="G15" i="2"/>
  <c r="K15" i="2"/>
  <c r="I2" i="2"/>
  <c r="J2" i="2"/>
  <c r="G2" i="2"/>
  <c r="K2" i="2"/>
  <c r="I3" i="2"/>
  <c r="J3" i="2"/>
  <c r="G3" i="2"/>
  <c r="K3" i="2"/>
  <c r="I4" i="2"/>
  <c r="G4" i="2"/>
  <c r="K4" i="2"/>
  <c r="I5" i="2"/>
  <c r="J5" i="2"/>
  <c r="C5" i="2"/>
  <c r="G5" i="2"/>
  <c r="K5" i="2"/>
  <c r="O5" i="2"/>
  <c r="S5" i="2"/>
  <c r="J6" i="2"/>
  <c r="K6" i="2"/>
  <c r="O6" i="2"/>
  <c r="N83" i="2"/>
  <c r="O83" i="2"/>
  <c r="S83" i="2"/>
  <c r="T83" i="2"/>
  <c r="N84" i="2"/>
  <c r="M85" i="2"/>
  <c r="P85" i="2"/>
  <c r="P118" i="2"/>
  <c r="P87" i="2"/>
  <c r="N88" i="2"/>
  <c r="P88" i="2"/>
  <c r="N89" i="2"/>
  <c r="P89" i="2"/>
  <c r="O89" i="2"/>
  <c r="S89" i="2"/>
  <c r="N75" i="2"/>
  <c r="O75" i="2"/>
  <c r="S75" i="2"/>
  <c r="N76" i="2"/>
  <c r="N77" i="2"/>
  <c r="N78" i="2"/>
  <c r="N79" i="2"/>
  <c r="O79" i="2"/>
  <c r="S79" i="2"/>
  <c r="M66" i="2"/>
  <c r="N66" i="2"/>
  <c r="M67" i="2"/>
  <c r="N67" i="2"/>
  <c r="M68" i="2"/>
  <c r="P68" i="2"/>
  <c r="P101" i="2"/>
  <c r="O68" i="2"/>
  <c r="M69" i="2"/>
  <c r="N69" i="2"/>
  <c r="N70" i="2"/>
  <c r="O70" i="2"/>
  <c r="P70" i="2"/>
  <c r="P103" i="2"/>
  <c r="N51" i="2"/>
  <c r="P51" i="2"/>
  <c r="N52" i="2"/>
  <c r="O52" i="2"/>
  <c r="P52" i="2"/>
  <c r="M53" i="2"/>
  <c r="P55" i="2"/>
  <c r="N56" i="2"/>
  <c r="N57" i="2"/>
  <c r="O57" i="2"/>
  <c r="S57" i="2"/>
  <c r="N43" i="2"/>
  <c r="N44" i="2"/>
  <c r="O44" i="2"/>
  <c r="P44" i="2"/>
  <c r="N45" i="2"/>
  <c r="N46" i="2"/>
  <c r="N47" i="2"/>
  <c r="M34" i="2"/>
  <c r="N34" i="2"/>
  <c r="M35" i="2"/>
  <c r="N35" i="2"/>
  <c r="M36" i="2"/>
  <c r="M37" i="2"/>
  <c r="N37" i="2"/>
  <c r="N38" i="2"/>
  <c r="O38" i="2"/>
  <c r="P38" i="2"/>
  <c r="N19" i="2"/>
  <c r="O19" i="2"/>
  <c r="S19" i="2"/>
  <c r="N20" i="2"/>
  <c r="M21" i="2"/>
  <c r="P21" i="2"/>
  <c r="N24" i="2"/>
  <c r="N25" i="2"/>
  <c r="N11" i="2"/>
  <c r="O11" i="2"/>
  <c r="S11" i="2"/>
  <c r="N12" i="2"/>
  <c r="N13" i="2"/>
  <c r="N14" i="2"/>
  <c r="N15" i="2"/>
  <c r="M2" i="2"/>
  <c r="N2" i="2"/>
  <c r="M3" i="2"/>
  <c r="N3" i="2"/>
  <c r="M4" i="2"/>
  <c r="M5" i="2"/>
  <c r="N5" i="2"/>
  <c r="N6" i="2"/>
  <c r="P6" i="2"/>
  <c r="R83" i="2"/>
  <c r="R84" i="2"/>
  <c r="Q85" i="2"/>
  <c r="S85" i="2"/>
  <c r="S87" i="2"/>
  <c r="T87" i="2"/>
  <c r="T120" i="2"/>
  <c r="R88" i="2"/>
  <c r="S88" i="2"/>
  <c r="T88" i="2"/>
  <c r="R89" i="2"/>
  <c r="T89" i="2"/>
  <c r="R75" i="2"/>
  <c r="T75" i="2"/>
  <c r="R76" i="2"/>
  <c r="R77" i="2"/>
  <c r="R78" i="2"/>
  <c r="R79" i="2"/>
  <c r="T79" i="2"/>
  <c r="T112" i="2"/>
  <c r="Q66" i="2"/>
  <c r="T66" i="2"/>
  <c r="R66" i="2"/>
  <c r="S66" i="2"/>
  <c r="Q67" i="2"/>
  <c r="T67" i="2"/>
  <c r="T100" i="2"/>
  <c r="R67" i="2"/>
  <c r="S67" i="2"/>
  <c r="Q68" i="2"/>
  <c r="T68" i="2"/>
  <c r="S68" i="2"/>
  <c r="Q69" i="2"/>
  <c r="R69" i="2"/>
  <c r="R70" i="2"/>
  <c r="S70" i="2"/>
  <c r="R51" i="2"/>
  <c r="T51" i="2"/>
  <c r="R52" i="2"/>
  <c r="S52" i="2"/>
  <c r="Q53" i="2"/>
  <c r="S53" i="2"/>
  <c r="T53" i="2"/>
  <c r="S55" i="2"/>
  <c r="T55" i="2"/>
  <c r="R56" i="2"/>
  <c r="T56" i="2"/>
  <c r="R57" i="2"/>
  <c r="T57" i="2"/>
  <c r="R43" i="2"/>
  <c r="R44" i="2"/>
  <c r="S44" i="2"/>
  <c r="R45" i="2"/>
  <c r="R46" i="2"/>
  <c r="R47" i="2"/>
  <c r="Q34" i="2"/>
  <c r="T34" i="2"/>
  <c r="R34" i="2"/>
  <c r="S34" i="2"/>
  <c r="Q35" i="2"/>
  <c r="R35" i="2"/>
  <c r="Q36" i="2"/>
  <c r="Q37" i="2"/>
  <c r="R37" i="2"/>
  <c r="R38" i="2"/>
  <c r="S38" i="2"/>
  <c r="R19" i="2"/>
  <c r="T19" i="2"/>
  <c r="R20" i="2"/>
  <c r="Q21" i="2"/>
  <c r="S21" i="2"/>
  <c r="T21" i="2"/>
  <c r="R24" i="2"/>
  <c r="R25" i="2"/>
  <c r="R11" i="2"/>
  <c r="R12" i="2"/>
  <c r="R13" i="2"/>
  <c r="R14" i="2"/>
  <c r="R15" i="2"/>
  <c r="Q2" i="2"/>
  <c r="R2" i="2"/>
  <c r="Q3" i="2"/>
  <c r="R3" i="2"/>
  <c r="Q4" i="2"/>
  <c r="Q5" i="2"/>
  <c r="R5" i="2"/>
  <c r="R6" i="2"/>
  <c r="S6" i="2"/>
  <c r="AB34" i="4"/>
  <c r="AB35" i="4"/>
  <c r="AB36" i="4"/>
  <c r="AB37" i="4"/>
  <c r="AB38" i="4"/>
  <c r="AB39" i="4"/>
  <c r="AD39" i="4"/>
  <c r="AB41" i="4"/>
  <c r="AB42" i="4"/>
  <c r="B75" i="4"/>
  <c r="B79" i="4"/>
  <c r="B80" i="4"/>
  <c r="C75" i="4"/>
  <c r="C79" i="4"/>
  <c r="C80" i="4"/>
  <c r="D75" i="4"/>
  <c r="D79" i="4"/>
  <c r="D80" i="4"/>
  <c r="D82" i="4"/>
  <c r="E75" i="4"/>
  <c r="E79" i="4"/>
  <c r="E80" i="4"/>
  <c r="E82" i="4"/>
  <c r="E52" i="4"/>
  <c r="F75" i="4"/>
  <c r="F80" i="4"/>
  <c r="F82" i="4"/>
  <c r="F52" i="4"/>
  <c r="G75" i="4"/>
  <c r="G79" i="4"/>
  <c r="G80" i="4"/>
  <c r="H75" i="4"/>
  <c r="H82" i="4"/>
  <c r="H80" i="4"/>
  <c r="J75" i="4"/>
  <c r="J80" i="4"/>
  <c r="K75" i="4"/>
  <c r="K82" i="4"/>
  <c r="K52" i="4"/>
  <c r="K79" i="4"/>
  <c r="K80" i="4"/>
  <c r="L75" i="4"/>
  <c r="L82" i="4"/>
  <c r="L79" i="4"/>
  <c r="L80" i="4"/>
  <c r="L52" i="4"/>
  <c r="M75" i="4"/>
  <c r="M80" i="4"/>
  <c r="M82" i="4"/>
  <c r="M52" i="4"/>
  <c r="N75" i="4"/>
  <c r="N79" i="4"/>
  <c r="N80" i="4"/>
  <c r="N82" i="4"/>
  <c r="O75" i="4"/>
  <c r="O80" i="4"/>
  <c r="O82" i="4"/>
  <c r="P75" i="4"/>
  <c r="P82" i="4"/>
  <c r="P52" i="4"/>
  <c r="P79" i="4"/>
  <c r="P80" i="4"/>
  <c r="R75" i="4"/>
  <c r="R79" i="4"/>
  <c r="R80" i="4"/>
  <c r="S75" i="4"/>
  <c r="S79" i="4"/>
  <c r="S80" i="4"/>
  <c r="S82" i="4"/>
  <c r="S52" i="4"/>
  <c r="T75" i="4"/>
  <c r="T80" i="4"/>
  <c r="T82" i="4"/>
  <c r="U75" i="4"/>
  <c r="U80" i="4"/>
  <c r="U82" i="4"/>
  <c r="V75" i="4"/>
  <c r="V79" i="4"/>
  <c r="V80" i="4"/>
  <c r="V82" i="4"/>
  <c r="V52" i="4"/>
  <c r="W75" i="4"/>
  <c r="W79" i="4"/>
  <c r="W80" i="4"/>
  <c r="X75" i="4"/>
  <c r="X79" i="4"/>
  <c r="X80" i="4"/>
  <c r="AB45" i="4"/>
  <c r="AB46" i="4"/>
  <c r="AB47" i="4"/>
  <c r="AB48" i="4"/>
  <c r="AB49" i="4"/>
  <c r="AB50" i="4"/>
  <c r="D16" i="1"/>
  <c r="E16" i="1"/>
  <c r="F16" i="1"/>
  <c r="D15" i="1"/>
  <c r="S37" i="23"/>
  <c r="S6" i="23"/>
  <c r="AN6" i="23"/>
  <c r="S4" i="23"/>
  <c r="T4" i="23"/>
  <c r="O22" i="1"/>
  <c r="AC29" i="24"/>
  <c r="AC39" i="24"/>
  <c r="X102" i="24"/>
  <c r="W102" i="24"/>
  <c r="V102" i="24"/>
  <c r="U102" i="24"/>
  <c r="T102" i="24"/>
  <c r="S102" i="24"/>
  <c r="R102" i="24"/>
  <c r="P102" i="24"/>
  <c r="O102" i="24"/>
  <c r="N102" i="24"/>
  <c r="M102" i="24"/>
  <c r="L102" i="24"/>
  <c r="K102" i="24"/>
  <c r="J102" i="24"/>
  <c r="H102" i="24"/>
  <c r="G102" i="24"/>
  <c r="F102" i="24"/>
  <c r="E102" i="24"/>
  <c r="D102" i="24"/>
  <c r="C102" i="24"/>
  <c r="B102" i="24"/>
  <c r="X96" i="24"/>
  <c r="W96" i="24"/>
  <c r="V96" i="24"/>
  <c r="U96" i="24"/>
  <c r="T96" i="24"/>
  <c r="S96" i="24"/>
  <c r="R96" i="24"/>
  <c r="P96" i="24"/>
  <c r="O96" i="24"/>
  <c r="N96" i="24"/>
  <c r="M96" i="24"/>
  <c r="L96" i="24"/>
  <c r="K96" i="24"/>
  <c r="J96" i="24"/>
  <c r="H96" i="24"/>
  <c r="G96" i="24"/>
  <c r="F96" i="24"/>
  <c r="E96" i="24"/>
  <c r="D96" i="24"/>
  <c r="C96" i="24"/>
  <c r="B96" i="24"/>
  <c r="W89" i="24"/>
  <c r="W91" i="24"/>
  <c r="U89" i="24"/>
  <c r="U91" i="24"/>
  <c r="S89" i="24"/>
  <c r="S91" i="24"/>
  <c r="R89" i="24"/>
  <c r="R91" i="24"/>
  <c r="P89" i="24"/>
  <c r="P91" i="24"/>
  <c r="M89" i="24"/>
  <c r="M91" i="24"/>
  <c r="L89" i="24"/>
  <c r="L91" i="24"/>
  <c r="H89" i="24"/>
  <c r="H91" i="24"/>
  <c r="G89" i="24"/>
  <c r="G91" i="24"/>
  <c r="E89" i="24"/>
  <c r="E91" i="24"/>
  <c r="C89" i="24"/>
  <c r="C91" i="24"/>
  <c r="X89" i="24"/>
  <c r="X91" i="24"/>
  <c r="V89" i="24"/>
  <c r="V91" i="24"/>
  <c r="T89" i="24"/>
  <c r="T91" i="24"/>
  <c r="O89" i="24"/>
  <c r="O91" i="24"/>
  <c r="N89" i="24"/>
  <c r="N91" i="24"/>
  <c r="K89" i="24"/>
  <c r="K91" i="24"/>
  <c r="J89" i="24"/>
  <c r="J91" i="24"/>
  <c r="F89" i="24"/>
  <c r="F91" i="24"/>
  <c r="D89" i="24"/>
  <c r="D91" i="24"/>
  <c r="B89" i="24"/>
  <c r="B91" i="24"/>
  <c r="S75" i="24"/>
  <c r="S79" i="24"/>
  <c r="S80" i="24"/>
  <c r="S82" i="24"/>
  <c r="S43" i="24"/>
  <c r="S52" i="24"/>
  <c r="J75" i="24"/>
  <c r="J80" i="24"/>
  <c r="J82" i="24"/>
  <c r="J43" i="24"/>
  <c r="J52" i="24"/>
  <c r="C75" i="24"/>
  <c r="C79" i="24"/>
  <c r="C80" i="24"/>
  <c r="B75" i="24"/>
  <c r="B82" i="24"/>
  <c r="B43" i="24"/>
  <c r="B52" i="24"/>
  <c r="B79" i="24"/>
  <c r="B80" i="24"/>
  <c r="X79" i="24"/>
  <c r="X80" i="24"/>
  <c r="X82" i="24"/>
  <c r="U80" i="24"/>
  <c r="U75" i="24"/>
  <c r="U82" i="24"/>
  <c r="U43" i="24"/>
  <c r="U52" i="24"/>
  <c r="T80" i="24"/>
  <c r="T82" i="24"/>
  <c r="T43" i="24"/>
  <c r="T52" i="24"/>
  <c r="T75" i="24"/>
  <c r="R79" i="24"/>
  <c r="R80" i="24"/>
  <c r="O80" i="24"/>
  <c r="O82" i="24"/>
  <c r="O43" i="24"/>
  <c r="O52" i="24"/>
  <c r="M80" i="24"/>
  <c r="M82" i="24"/>
  <c r="M43" i="24"/>
  <c r="M52" i="24"/>
  <c r="K79" i="24"/>
  <c r="K80" i="24"/>
  <c r="H80" i="24"/>
  <c r="G79" i="24"/>
  <c r="G80" i="24"/>
  <c r="F80" i="24"/>
  <c r="W79" i="24"/>
  <c r="W80" i="24"/>
  <c r="W82" i="24"/>
  <c r="V79" i="24"/>
  <c r="V80" i="24"/>
  <c r="P79" i="24"/>
  <c r="P80" i="24"/>
  <c r="N79" i="24"/>
  <c r="N80" i="24"/>
  <c r="L79" i="24"/>
  <c r="L80" i="24"/>
  <c r="L82" i="24"/>
  <c r="L75" i="24"/>
  <c r="L43" i="24"/>
  <c r="L52" i="24"/>
  <c r="E79" i="24"/>
  <c r="E80" i="24"/>
  <c r="D79" i="24"/>
  <c r="D80" i="24"/>
  <c r="X75" i="24"/>
  <c r="X43" i="24"/>
  <c r="X52" i="24"/>
  <c r="W75" i="24"/>
  <c r="W43" i="24"/>
  <c r="W52" i="24"/>
  <c r="V75" i="24"/>
  <c r="R75" i="24"/>
  <c r="P75" i="24"/>
  <c r="P82" i="24"/>
  <c r="P43" i="24"/>
  <c r="P52" i="24"/>
  <c r="O75" i="24"/>
  <c r="N75" i="24"/>
  <c r="N82" i="24"/>
  <c r="N43" i="24"/>
  <c r="N52" i="24"/>
  <c r="M75" i="24"/>
  <c r="K75" i="24"/>
  <c r="K82" i="24"/>
  <c r="K43" i="24"/>
  <c r="K52" i="24"/>
  <c r="H75" i="24"/>
  <c r="G75" i="24"/>
  <c r="G82" i="24"/>
  <c r="G43" i="24"/>
  <c r="G52" i="24"/>
  <c r="F75" i="24"/>
  <c r="F82" i="24"/>
  <c r="E75" i="24"/>
  <c r="E82" i="24"/>
  <c r="E43" i="24"/>
  <c r="E52" i="24"/>
  <c r="D75" i="24"/>
  <c r="Z52" i="24"/>
  <c r="Z54" i="24"/>
  <c r="Y29" i="24"/>
  <c r="Y54" i="24"/>
  <c r="Y52" i="24"/>
  <c r="I29" i="24"/>
  <c r="I52" i="24"/>
  <c r="I54" i="24"/>
  <c r="AB50" i="24"/>
  <c r="A50" i="24"/>
  <c r="AB49" i="24"/>
  <c r="A49" i="24"/>
  <c r="AB48" i="24"/>
  <c r="A48" i="24"/>
  <c r="AB47" i="24"/>
  <c r="A47" i="24"/>
  <c r="AB46" i="24"/>
  <c r="A46" i="24"/>
  <c r="AB45" i="24"/>
  <c r="F43" i="24"/>
  <c r="F52" i="24"/>
  <c r="AB42" i="24"/>
  <c r="A42" i="24"/>
  <c r="AB41" i="24"/>
  <c r="AB39" i="24"/>
  <c r="A39" i="24"/>
  <c r="AB38" i="24"/>
  <c r="A38" i="24"/>
  <c r="AB37" i="24"/>
  <c r="A37" i="24"/>
  <c r="AB36" i="24"/>
  <c r="A36" i="24"/>
  <c r="AB35" i="24"/>
  <c r="A35" i="24"/>
  <c r="AB34" i="24"/>
  <c r="A34" i="24"/>
  <c r="AB31" i="24"/>
  <c r="E18" i="24"/>
  <c r="E14" i="24"/>
  <c r="E16" i="24"/>
  <c r="E19" i="24"/>
  <c r="W18" i="24"/>
  <c r="W19" i="24"/>
  <c r="W24" i="24"/>
  <c r="W14" i="24"/>
  <c r="W16" i="24"/>
  <c r="N18" i="24"/>
  <c r="N19" i="24"/>
  <c r="N21" i="24"/>
  <c r="N22" i="24"/>
  <c r="N14" i="24"/>
  <c r="N16" i="24"/>
  <c r="X18" i="24"/>
  <c r="V18" i="24"/>
  <c r="V14" i="24"/>
  <c r="V19" i="24"/>
  <c r="V16" i="24"/>
  <c r="U18" i="24"/>
  <c r="U14" i="24"/>
  <c r="T18" i="24"/>
  <c r="S18" i="24"/>
  <c r="R18" i="24"/>
  <c r="R19" i="24"/>
  <c r="R24" i="24"/>
  <c r="R26" i="24"/>
  <c r="R14" i="24"/>
  <c r="P18" i="24"/>
  <c r="P14" i="24"/>
  <c r="P16" i="24"/>
  <c r="P19" i="24"/>
  <c r="O18" i="24"/>
  <c r="M18" i="24"/>
  <c r="M14" i="24"/>
  <c r="M16" i="24"/>
  <c r="L18" i="24"/>
  <c r="L14" i="24"/>
  <c r="L16" i="24"/>
  <c r="L19" i="24"/>
  <c r="L24" i="24"/>
  <c r="K18" i="24"/>
  <c r="J18" i="24"/>
  <c r="H18" i="24"/>
  <c r="H14" i="24"/>
  <c r="G18" i="24"/>
  <c r="G14" i="24"/>
  <c r="G19" i="24"/>
  <c r="G21" i="24"/>
  <c r="G22" i="24"/>
  <c r="F18" i="24"/>
  <c r="D18" i="24"/>
  <c r="D14" i="24"/>
  <c r="D19" i="24"/>
  <c r="D16" i="24"/>
  <c r="C18" i="24"/>
  <c r="C14" i="24"/>
  <c r="C19" i="24"/>
  <c r="B18" i="24"/>
  <c r="B19" i="24"/>
  <c r="R16" i="24"/>
  <c r="R21" i="24"/>
  <c r="R22" i="24"/>
  <c r="G16" i="24"/>
  <c r="C16" i="24"/>
  <c r="X14" i="24"/>
  <c r="X16" i="24"/>
  <c r="T14" i="24"/>
  <c r="T16" i="24"/>
  <c r="S14" i="24"/>
  <c r="S16" i="24"/>
  <c r="O14" i="24"/>
  <c r="O16" i="24"/>
  <c r="K14" i="24"/>
  <c r="K16" i="24"/>
  <c r="J14" i="24"/>
  <c r="J16" i="24"/>
  <c r="F14" i="24"/>
  <c r="B14" i="24"/>
  <c r="AA12" i="24"/>
  <c r="B16" i="24"/>
  <c r="K19" i="24"/>
  <c r="X19" i="24"/>
  <c r="X21" i="24"/>
  <c r="X22" i="24"/>
  <c r="L21" i="24"/>
  <c r="L22" i="24"/>
  <c r="J19" i="24"/>
  <c r="S19" i="24"/>
  <c r="D82" i="24"/>
  <c r="D43" i="24"/>
  <c r="D52" i="24"/>
  <c r="H82" i="24"/>
  <c r="H43" i="24"/>
  <c r="H52" i="24"/>
  <c r="R82" i="24"/>
  <c r="R43" i="24"/>
  <c r="R52" i="24"/>
  <c r="V82" i="24"/>
  <c r="V43" i="24"/>
  <c r="V52" i="24"/>
  <c r="T14" i="23"/>
  <c r="AN14" i="23"/>
  <c r="H16" i="1"/>
  <c r="AN33" i="23"/>
  <c r="AN34" i="23"/>
  <c r="AN35" i="23"/>
  <c r="AN36" i="23"/>
  <c r="AN26" i="23"/>
  <c r="AM38" i="23"/>
  <c r="AL38" i="23"/>
  <c r="AK38" i="23"/>
  <c r="AJ38" i="23"/>
  <c r="AI38" i="23"/>
  <c r="AH38" i="23"/>
  <c r="AG38" i="23"/>
  <c r="AF38" i="23"/>
  <c r="AE38" i="23"/>
  <c r="AD38" i="23"/>
  <c r="AC38" i="23"/>
  <c r="AB38" i="23"/>
  <c r="AA38" i="23"/>
  <c r="Z38" i="23"/>
  <c r="Y38" i="23"/>
  <c r="X38" i="23"/>
  <c r="W38" i="23"/>
  <c r="V38" i="23"/>
  <c r="U38" i="23"/>
  <c r="R38" i="23"/>
  <c r="O38" i="23"/>
  <c r="M38" i="23"/>
  <c r="L38" i="23"/>
  <c r="J38" i="23"/>
  <c r="I38" i="23"/>
  <c r="H38" i="23"/>
  <c r="G38" i="23"/>
  <c r="F38" i="23"/>
  <c r="K37" i="23"/>
  <c r="K36" i="23"/>
  <c r="K35" i="23"/>
  <c r="K34" i="23"/>
  <c r="K33" i="23"/>
  <c r="AN32" i="23"/>
  <c r="K32" i="23"/>
  <c r="AN31" i="23"/>
  <c r="K31" i="23"/>
  <c r="AN30" i="23"/>
  <c r="K30" i="23"/>
  <c r="AN29" i="23"/>
  <c r="K29" i="23"/>
  <c r="AN28" i="23"/>
  <c r="K28" i="23"/>
  <c r="AN27" i="23"/>
  <c r="K27" i="23"/>
  <c r="K26" i="23"/>
  <c r="P26" i="23"/>
  <c r="AN25" i="23"/>
  <c r="K25" i="23"/>
  <c r="AN24" i="23"/>
  <c r="K24" i="23"/>
  <c r="AN23" i="23"/>
  <c r="K23" i="23"/>
  <c r="AN22" i="23"/>
  <c r="K22" i="23"/>
  <c r="AN21" i="23"/>
  <c r="K21" i="23"/>
  <c r="AN20" i="23"/>
  <c r="K20" i="23"/>
  <c r="AN19" i="23"/>
  <c r="K19" i="23"/>
  <c r="AN18" i="23"/>
  <c r="K18" i="23"/>
  <c r="AN17" i="23"/>
  <c r="K17" i="23"/>
  <c r="AN16" i="23"/>
  <c r="K16" i="23"/>
  <c r="AN15" i="23"/>
  <c r="K15" i="23"/>
  <c r="K14" i="23"/>
  <c r="AN13" i="23"/>
  <c r="K13" i="23"/>
  <c r="AN12" i="23"/>
  <c r="K12" i="23"/>
  <c r="AN11" i="23"/>
  <c r="K11" i="23"/>
  <c r="AN10" i="23"/>
  <c r="N38" i="23"/>
  <c r="K10" i="23"/>
  <c r="AN9" i="23"/>
  <c r="K9" i="23"/>
  <c r="AN8" i="23"/>
  <c r="K8" i="23"/>
  <c r="AN7" i="23"/>
  <c r="K7" i="23"/>
  <c r="K6" i="23"/>
  <c r="AN5" i="23"/>
  <c r="K5" i="23"/>
  <c r="K4" i="23"/>
  <c r="Z52" i="4"/>
  <c r="Z54" i="4"/>
  <c r="A39" i="4"/>
  <c r="Y52" i="4"/>
  <c r="Y29" i="4"/>
  <c r="I29" i="4"/>
  <c r="I52" i="4"/>
  <c r="A46" i="4"/>
  <c r="Y54" i="4"/>
  <c r="H33" i="1"/>
  <c r="H5" i="1"/>
  <c r="G17" i="1"/>
  <c r="G3" i="1"/>
  <c r="G9" i="1"/>
  <c r="G14" i="22"/>
  <c r="F12" i="22"/>
  <c r="E12" i="22"/>
  <c r="D12" i="22"/>
  <c r="C12" i="22"/>
  <c r="K14" i="22"/>
  <c r="H104" i="2"/>
  <c r="AC39" i="4"/>
  <c r="E21" i="2"/>
  <c r="E35" i="2"/>
  <c r="E36" i="2"/>
  <c r="E37" i="2"/>
  <c r="E53" i="2"/>
  <c r="H53" i="2"/>
  <c r="E67" i="2"/>
  <c r="E68" i="2"/>
  <c r="E69" i="2"/>
  <c r="E85" i="2"/>
  <c r="L106" i="2"/>
  <c r="P121" i="2"/>
  <c r="P122" i="2"/>
  <c r="T101" i="2"/>
  <c r="T108" i="2"/>
  <c r="T121" i="2"/>
  <c r="F2" i="2"/>
  <c r="H2" i="2"/>
  <c r="H99" i="2"/>
  <c r="F34" i="2"/>
  <c r="H34" i="2"/>
  <c r="F66" i="2"/>
  <c r="H66" i="2"/>
  <c r="E3" i="2"/>
  <c r="F3" i="2"/>
  <c r="F35" i="2"/>
  <c r="H35" i="2"/>
  <c r="F67" i="2"/>
  <c r="E4" i="2"/>
  <c r="H4" i="2"/>
  <c r="H101" i="2"/>
  <c r="H36" i="2"/>
  <c r="H68" i="2"/>
  <c r="E5" i="2"/>
  <c r="F5" i="2"/>
  <c r="F37" i="2"/>
  <c r="F69" i="2"/>
  <c r="F70" i="2"/>
  <c r="H70" i="2"/>
  <c r="F6" i="2"/>
  <c r="H6" i="2"/>
  <c r="F38" i="2"/>
  <c r="H38" i="2"/>
  <c r="H106" i="2"/>
  <c r="H107" i="2"/>
  <c r="F11" i="2"/>
  <c r="H11" i="2"/>
  <c r="F43" i="2"/>
  <c r="H43" i="2"/>
  <c r="H108" i="2"/>
  <c r="F75" i="2"/>
  <c r="H75" i="2"/>
  <c r="F12" i="2"/>
  <c r="H12" i="2"/>
  <c r="F44" i="2"/>
  <c r="H44" i="2"/>
  <c r="F76" i="2"/>
  <c r="H76" i="2"/>
  <c r="F13" i="2"/>
  <c r="H13" i="2"/>
  <c r="F45" i="2"/>
  <c r="H45" i="2"/>
  <c r="F77" i="2"/>
  <c r="H77" i="2"/>
  <c r="F14" i="2"/>
  <c r="H14" i="2"/>
  <c r="F46" i="2"/>
  <c r="H46" i="2"/>
  <c r="F78" i="2"/>
  <c r="H78" i="2"/>
  <c r="H111" i="2"/>
  <c r="F15" i="2"/>
  <c r="F47" i="2"/>
  <c r="H47" i="2"/>
  <c r="F79" i="2"/>
  <c r="H79" i="2"/>
  <c r="F19" i="2"/>
  <c r="H19" i="2"/>
  <c r="F51" i="2"/>
  <c r="H51" i="2"/>
  <c r="H116" i="2"/>
  <c r="F83" i="2"/>
  <c r="H83" i="2"/>
  <c r="F20" i="2"/>
  <c r="H20" i="2"/>
  <c r="F52" i="2"/>
  <c r="H52" i="2"/>
  <c r="F84" i="2"/>
  <c r="H84" i="2"/>
  <c r="H90" i="2"/>
  <c r="H85" i="2"/>
  <c r="H22" i="2"/>
  <c r="H86" i="2"/>
  <c r="H23" i="2"/>
  <c r="H120" i="2"/>
  <c r="H55" i="2"/>
  <c r="H87" i="2"/>
  <c r="F24" i="2"/>
  <c r="H24" i="2"/>
  <c r="F56" i="2"/>
  <c r="H56" i="2"/>
  <c r="F88" i="2"/>
  <c r="H88" i="2"/>
  <c r="F25" i="2"/>
  <c r="H25" i="2"/>
  <c r="F57" i="2"/>
  <c r="H57" i="2"/>
  <c r="H122" i="2"/>
  <c r="F89" i="2"/>
  <c r="H89" i="2"/>
  <c r="F14" i="22"/>
  <c r="E14" i="22"/>
  <c r="C45" i="1"/>
  <c r="C6" i="1"/>
  <c r="C33" i="1"/>
  <c r="C5" i="1"/>
  <c r="C17" i="1"/>
  <c r="C3" i="1"/>
  <c r="B17" i="1"/>
  <c r="B3" i="1"/>
  <c r="C26" i="1"/>
  <c r="C4" i="1"/>
  <c r="G33" i="1"/>
  <c r="G5" i="1"/>
  <c r="H17" i="1"/>
  <c r="H3" i="1"/>
  <c r="H26" i="1"/>
  <c r="H4" i="1"/>
  <c r="H45" i="1"/>
  <c r="H6" i="1"/>
  <c r="AA12" i="4"/>
  <c r="P6" i="1"/>
  <c r="Q6" i="1"/>
  <c r="P5" i="1"/>
  <c r="Q5" i="1"/>
  <c r="P4" i="1"/>
  <c r="Q4" i="1"/>
  <c r="P3" i="1"/>
  <c r="Q3" i="1"/>
  <c r="M111" i="4"/>
  <c r="D104" i="2"/>
  <c r="N111" i="4"/>
  <c r="V111" i="4"/>
  <c r="P111" i="4"/>
  <c r="U111" i="4"/>
  <c r="O111" i="4"/>
  <c r="F111" i="4"/>
  <c r="W111" i="4"/>
  <c r="G111" i="4"/>
  <c r="D111" i="4"/>
  <c r="E111" i="4"/>
  <c r="H111" i="4"/>
  <c r="J111" i="4"/>
  <c r="K111" i="4"/>
  <c r="L111" i="4"/>
  <c r="R111" i="4"/>
  <c r="S111" i="4"/>
  <c r="T111" i="4"/>
  <c r="X111" i="4"/>
  <c r="C111" i="4"/>
  <c r="B111" i="4"/>
  <c r="A49" i="4"/>
  <c r="A48" i="4"/>
  <c r="A47" i="4"/>
  <c r="A42" i="4"/>
  <c r="A50" i="4"/>
  <c r="A38" i="4"/>
  <c r="A37" i="4"/>
  <c r="A36" i="4"/>
  <c r="A35" i="4"/>
  <c r="A34" i="4"/>
  <c r="X102" i="4"/>
  <c r="W102" i="4"/>
  <c r="V102" i="4"/>
  <c r="U102" i="4"/>
  <c r="T102" i="4"/>
  <c r="S102" i="4"/>
  <c r="R102" i="4"/>
  <c r="P102" i="4"/>
  <c r="O102" i="4"/>
  <c r="N102" i="4"/>
  <c r="M102" i="4"/>
  <c r="L102" i="4"/>
  <c r="K102" i="4"/>
  <c r="J102" i="4"/>
  <c r="H102" i="4"/>
  <c r="G102" i="4"/>
  <c r="F102" i="4"/>
  <c r="E102" i="4"/>
  <c r="D102" i="4"/>
  <c r="C102" i="4"/>
  <c r="B102" i="4"/>
  <c r="X96" i="4"/>
  <c r="W96" i="4"/>
  <c r="V96" i="4"/>
  <c r="U96" i="4"/>
  <c r="T96" i="4"/>
  <c r="S96" i="4"/>
  <c r="R96" i="4"/>
  <c r="P96" i="4"/>
  <c r="O96" i="4"/>
  <c r="N96" i="4"/>
  <c r="M96" i="4"/>
  <c r="L96" i="4"/>
  <c r="K96" i="4"/>
  <c r="J96" i="4"/>
  <c r="H96" i="4"/>
  <c r="G96" i="4"/>
  <c r="F96" i="4"/>
  <c r="E96" i="4"/>
  <c r="D96" i="4"/>
  <c r="C96" i="4"/>
  <c r="B96" i="4"/>
  <c r="X89" i="4"/>
  <c r="X91" i="4"/>
  <c r="W89" i="4"/>
  <c r="W91" i="4"/>
  <c r="V89" i="4"/>
  <c r="V91" i="4"/>
  <c r="U89" i="4"/>
  <c r="U91" i="4"/>
  <c r="T89" i="4"/>
  <c r="T91" i="4"/>
  <c r="S89" i="4"/>
  <c r="S91" i="4"/>
  <c r="R89" i="4"/>
  <c r="R91" i="4"/>
  <c r="P89" i="4"/>
  <c r="P91" i="4"/>
  <c r="O89" i="4"/>
  <c r="O91" i="4"/>
  <c r="N89" i="4"/>
  <c r="N91" i="4"/>
  <c r="M89" i="4"/>
  <c r="M91" i="4"/>
  <c r="L89" i="4"/>
  <c r="L91" i="4"/>
  <c r="K89" i="4"/>
  <c r="K91" i="4"/>
  <c r="J89" i="4"/>
  <c r="J91" i="4"/>
  <c r="H89" i="4"/>
  <c r="H91" i="4"/>
  <c r="G89" i="4"/>
  <c r="G91" i="4"/>
  <c r="F89" i="4"/>
  <c r="F91" i="4"/>
  <c r="E89" i="4"/>
  <c r="E91" i="4"/>
  <c r="D89" i="4"/>
  <c r="D91" i="4"/>
  <c r="C89" i="4"/>
  <c r="C91" i="4"/>
  <c r="B89" i="4"/>
  <c r="B91" i="4"/>
  <c r="O52" i="4"/>
  <c r="X18" i="4"/>
  <c r="W18" i="4"/>
  <c r="V18" i="4"/>
  <c r="V14" i="4"/>
  <c r="U18" i="4"/>
  <c r="T18" i="4"/>
  <c r="S18" i="4"/>
  <c r="S19" i="4"/>
  <c r="S14" i="4"/>
  <c r="R18" i="4"/>
  <c r="P18" i="4"/>
  <c r="P19" i="4"/>
  <c r="O18" i="4"/>
  <c r="O19" i="4"/>
  <c r="N18" i="4"/>
  <c r="N14" i="4"/>
  <c r="N19" i="4"/>
  <c r="M18" i="4"/>
  <c r="L18" i="4"/>
  <c r="K18" i="4"/>
  <c r="J18" i="4"/>
  <c r="J14" i="4"/>
  <c r="J16" i="4"/>
  <c r="H18" i="4"/>
  <c r="G18" i="4"/>
  <c r="F18" i="4"/>
  <c r="F19" i="4"/>
  <c r="F21" i="4"/>
  <c r="F22" i="4"/>
  <c r="E18" i="4"/>
  <c r="D18" i="4"/>
  <c r="C18" i="4"/>
  <c r="B18" i="4"/>
  <c r="B19" i="4"/>
  <c r="B24" i="4"/>
  <c r="B14" i="4"/>
  <c r="X14" i="4"/>
  <c r="X16" i="4"/>
  <c r="W14" i="4"/>
  <c r="W16" i="4"/>
  <c r="U14" i="4"/>
  <c r="U16" i="4"/>
  <c r="T14" i="4"/>
  <c r="T16" i="4"/>
  <c r="T24" i="4"/>
  <c r="S16" i="4"/>
  <c r="R14" i="4"/>
  <c r="P14" i="4"/>
  <c r="P16" i="4"/>
  <c r="O14" i="4"/>
  <c r="O16" i="4"/>
  <c r="N16" i="4"/>
  <c r="M14" i="4"/>
  <c r="L14" i="4"/>
  <c r="K14" i="4"/>
  <c r="K16" i="4"/>
  <c r="K24" i="4"/>
  <c r="H14" i="4"/>
  <c r="G14" i="4"/>
  <c r="G19" i="4"/>
  <c r="F14" i="4"/>
  <c r="F16" i="4"/>
  <c r="E14" i="4"/>
  <c r="E16" i="4"/>
  <c r="D14" i="4"/>
  <c r="D16" i="4"/>
  <c r="D24" i="4"/>
  <c r="D26" i="4"/>
  <c r="C14" i="4"/>
  <c r="C16" i="4"/>
  <c r="B16" i="4"/>
  <c r="O24" i="1"/>
  <c r="M22" i="1"/>
  <c r="M23" i="1"/>
  <c r="K22" i="1"/>
  <c r="K23" i="1"/>
  <c r="O21" i="1"/>
  <c r="AC29" i="4"/>
  <c r="M21" i="1"/>
  <c r="M24" i="1"/>
  <c r="K21" i="1"/>
  <c r="L115" i="2"/>
  <c r="T115" i="2"/>
  <c r="P115" i="2"/>
  <c r="H115" i="2"/>
  <c r="H114" i="2"/>
  <c r="Q42" i="3"/>
  <c r="P42" i="3"/>
  <c r="O42" i="3"/>
  <c r="N42" i="3"/>
  <c r="N44" i="3"/>
  <c r="K42" i="3"/>
  <c r="K44" i="3"/>
  <c r="K28" i="3"/>
  <c r="K15" i="3"/>
  <c r="J42" i="3"/>
  <c r="I42" i="3"/>
  <c r="H42" i="3"/>
  <c r="H28" i="3"/>
  <c r="H15" i="3"/>
  <c r="Q28" i="3"/>
  <c r="P28" i="3"/>
  <c r="O28" i="3"/>
  <c r="O15" i="3"/>
  <c r="O44" i="3"/>
  <c r="N28" i="3"/>
  <c r="J28" i="3"/>
  <c r="J15" i="3"/>
  <c r="J44" i="3"/>
  <c r="I28" i="3"/>
  <c r="I15" i="3"/>
  <c r="C42" i="3"/>
  <c r="C28" i="3"/>
  <c r="C15" i="3"/>
  <c r="E42" i="3"/>
  <c r="E44" i="3"/>
  <c r="E28" i="3"/>
  <c r="E15" i="3"/>
  <c r="Q15" i="3"/>
  <c r="Q44" i="3"/>
  <c r="D42" i="3"/>
  <c r="B42" i="3"/>
  <c r="D28" i="3"/>
  <c r="B28" i="3"/>
  <c r="B57" i="3"/>
  <c r="B59" i="3"/>
  <c r="P15" i="3"/>
  <c r="P44" i="3"/>
  <c r="N15" i="3"/>
  <c r="D15" i="3"/>
  <c r="B15" i="3"/>
  <c r="B44" i="3"/>
  <c r="H52" i="4"/>
  <c r="D52" i="4"/>
  <c r="T52" i="4"/>
  <c r="K24" i="1"/>
  <c r="K25" i="1"/>
  <c r="AC31" i="4"/>
  <c r="O23" i="1"/>
  <c r="H48" i="2"/>
  <c r="D44" i="3"/>
  <c r="B50" i="3"/>
  <c r="T122" i="2"/>
  <c r="T106" i="2"/>
  <c r="G16" i="4"/>
  <c r="G21" i="4"/>
  <c r="G22" i="4"/>
  <c r="G24" i="4"/>
  <c r="C19" i="4"/>
  <c r="C21" i="4"/>
  <c r="C22" i="4"/>
  <c r="AD31" i="4"/>
  <c r="B21" i="4"/>
  <c r="B22" i="4"/>
  <c r="E19" i="4"/>
  <c r="W19" i="4"/>
  <c r="N52" i="4"/>
  <c r="U52" i="4"/>
  <c r="K19" i="4"/>
  <c r="T19" i="4"/>
  <c r="S24" i="4"/>
  <c r="S26" i="4"/>
  <c r="X19" i="4"/>
  <c r="X21" i="4"/>
  <c r="U19" i="4"/>
  <c r="U21" i="4"/>
  <c r="U22" i="4"/>
  <c r="D19" i="4"/>
  <c r="F24" i="4"/>
  <c r="F26" i="4"/>
  <c r="M16" i="4"/>
  <c r="M19" i="4"/>
  <c r="S21" i="4"/>
  <c r="S22" i="4"/>
  <c r="C24" i="4"/>
  <c r="C26" i="4"/>
  <c r="H16" i="4"/>
  <c r="H19" i="4"/>
  <c r="H21" i="4"/>
  <c r="H22" i="4"/>
  <c r="R16" i="4"/>
  <c r="R19" i="4"/>
  <c r="P120" i="2"/>
  <c r="AC50" i="4"/>
  <c r="AD50" i="4"/>
  <c r="X24" i="4"/>
  <c r="X22" i="4"/>
  <c r="U24" i="4"/>
  <c r="U26" i="4"/>
  <c r="U65" i="4"/>
  <c r="D21" i="4"/>
  <c r="D22" i="4"/>
  <c r="H24" i="4"/>
  <c r="U28" i="4"/>
  <c r="U67" i="4"/>
  <c r="E38" i="23"/>
  <c r="B24" i="24"/>
  <c r="B21" i="24"/>
  <c r="B22" i="24"/>
  <c r="B26" i="24"/>
  <c r="R28" i="24"/>
  <c r="S21" i="24"/>
  <c r="S22" i="24"/>
  <c r="S24" i="24"/>
  <c r="S26" i="24"/>
  <c r="S28" i="24"/>
  <c r="J24" i="24"/>
  <c r="J21" i="24"/>
  <c r="J22" i="24"/>
  <c r="J26" i="24"/>
  <c r="X24" i="24"/>
  <c r="X26" i="24"/>
  <c r="K21" i="24"/>
  <c r="K22" i="24"/>
  <c r="K26" i="24"/>
  <c r="K28" i="24"/>
  <c r="K24" i="24"/>
  <c r="K65" i="24"/>
  <c r="K66" i="24"/>
  <c r="S65" i="24"/>
  <c r="I54" i="4"/>
  <c r="S66" i="24"/>
  <c r="S27" i="24"/>
  <c r="S29" i="24"/>
  <c r="S54" i="24"/>
  <c r="S67" i="24"/>
  <c r="X28" i="24"/>
  <c r="X65" i="24"/>
  <c r="J28" i="24"/>
  <c r="J65" i="24"/>
  <c r="B28" i="24"/>
  <c r="B65" i="24"/>
  <c r="C28" i="4"/>
  <c r="C65" i="4"/>
  <c r="R65" i="24"/>
  <c r="P24" i="24"/>
  <c r="P21" i="24"/>
  <c r="P22" i="24"/>
  <c r="E15" i="1"/>
  <c r="E17" i="1"/>
  <c r="E3" i="1"/>
  <c r="D17" i="1"/>
  <c r="K27" i="24"/>
  <c r="K29" i="24"/>
  <c r="K54" i="24"/>
  <c r="R24" i="4"/>
  <c r="R21" i="4"/>
  <c r="R22" i="4"/>
  <c r="F28" i="4"/>
  <c r="F65" i="4"/>
  <c r="S28" i="4"/>
  <c r="S65" i="4"/>
  <c r="B51" i="3"/>
  <c r="AC43" i="4"/>
  <c r="H109" i="2"/>
  <c r="AC36" i="4"/>
  <c r="AD36" i="4"/>
  <c r="K67" i="24"/>
  <c r="K68" i="24"/>
  <c r="K69" i="24"/>
  <c r="K32" i="24"/>
  <c r="W24" i="4"/>
  <c r="W21" i="4"/>
  <c r="W22" i="4"/>
  <c r="D65" i="4"/>
  <c r="V19" i="4"/>
  <c r="V16" i="4"/>
  <c r="AC49" i="4"/>
  <c r="AD49" i="4"/>
  <c r="H80" i="2"/>
  <c r="T69" i="2"/>
  <c r="T102" i="2"/>
  <c r="T99" i="2"/>
  <c r="D28" i="4"/>
  <c r="U68" i="4"/>
  <c r="U69" i="4"/>
  <c r="U32" i="4"/>
  <c r="U66" i="4"/>
  <c r="U27" i="4"/>
  <c r="U29" i="4"/>
  <c r="U54" i="4"/>
  <c r="M24" i="4"/>
  <c r="M21" i="4"/>
  <c r="M22" i="4"/>
  <c r="O21" i="4"/>
  <c r="O22" i="4"/>
  <c r="O24" i="4"/>
  <c r="H110" i="2"/>
  <c r="P66" i="2"/>
  <c r="T107" i="2"/>
  <c r="T114" i="2"/>
  <c r="T116" i="2"/>
  <c r="O77" i="2"/>
  <c r="L77" i="2"/>
  <c r="E40" i="1"/>
  <c r="F40" i="1"/>
  <c r="D37" i="1"/>
  <c r="E37" i="1"/>
  <c r="B45" i="1"/>
  <c r="B6" i="1"/>
  <c r="E24" i="4"/>
  <c r="E21" i="4"/>
  <c r="E22" i="4"/>
  <c r="L16" i="4"/>
  <c r="L19" i="4"/>
  <c r="B26" i="4"/>
  <c r="P24" i="4"/>
  <c r="H37" i="2"/>
  <c r="H40" i="2"/>
  <c r="U16" i="24"/>
  <c r="U19" i="24"/>
  <c r="H26" i="4"/>
  <c r="AA14" i="24"/>
  <c r="H16" i="24"/>
  <c r="H19" i="24"/>
  <c r="L26" i="24"/>
  <c r="T6" i="2"/>
  <c r="P5" i="2"/>
  <c r="P69" i="2"/>
  <c r="P102" i="2"/>
  <c r="L15" i="2"/>
  <c r="L112" i="2"/>
  <c r="O15" i="2"/>
  <c r="S15" i="2"/>
  <c r="O24" i="2"/>
  <c r="S24" i="2"/>
  <c r="T24" i="2"/>
  <c r="L24" i="2"/>
  <c r="L121" i="2"/>
  <c r="AC48" i="24"/>
  <c r="AD48" i="24"/>
  <c r="L21" i="2"/>
  <c r="P107" i="2"/>
  <c r="P106" i="2"/>
  <c r="L46" i="2"/>
  <c r="O46" i="2"/>
  <c r="S46" i="2"/>
  <c r="T46" i="2"/>
  <c r="L78" i="2"/>
  <c r="O78" i="2"/>
  <c r="S78" i="2"/>
  <c r="T78" i="2"/>
  <c r="T111" i="2"/>
  <c r="B23" i="1"/>
  <c r="B26" i="1"/>
  <c r="B4" i="1"/>
  <c r="D4" i="1"/>
  <c r="B24" i="1"/>
  <c r="D24" i="1"/>
  <c r="E24" i="1"/>
  <c r="D22" i="1"/>
  <c r="E22" i="1"/>
  <c r="AC31" i="24"/>
  <c r="AD31" i="24"/>
  <c r="X26" i="4"/>
  <c r="AA14" i="4"/>
  <c r="P21" i="4"/>
  <c r="P22" i="4"/>
  <c r="T21" i="4"/>
  <c r="T22" i="4"/>
  <c r="T26" i="4"/>
  <c r="G26" i="4"/>
  <c r="P114" i="2"/>
  <c r="H117" i="2"/>
  <c r="H15" i="2"/>
  <c r="H112" i="2"/>
  <c r="H67" i="2"/>
  <c r="H72" i="2"/>
  <c r="H92" i="2"/>
  <c r="K21" i="4"/>
  <c r="K22" i="4"/>
  <c r="K26" i="4"/>
  <c r="AC34" i="4"/>
  <c r="I44" i="3"/>
  <c r="H44" i="3"/>
  <c r="B48" i="3"/>
  <c r="D3" i="1"/>
  <c r="F3" i="1"/>
  <c r="H103" i="2"/>
  <c r="H5" i="2"/>
  <c r="L107" i="2"/>
  <c r="H21" i="2"/>
  <c r="H118" i="2"/>
  <c r="L114" i="2"/>
  <c r="N24" i="24"/>
  <c r="N26" i="24"/>
  <c r="G24" i="24"/>
  <c r="G26" i="24"/>
  <c r="C24" i="24"/>
  <c r="C21" i="24"/>
  <c r="C22" i="24"/>
  <c r="V21" i="24"/>
  <c r="V22" i="24"/>
  <c r="V24" i="24"/>
  <c r="V26" i="24"/>
  <c r="B82" i="4"/>
  <c r="T15" i="2"/>
  <c r="P24" i="2"/>
  <c r="P35" i="2"/>
  <c r="P46" i="2"/>
  <c r="L4" i="2"/>
  <c r="O4" i="2"/>
  <c r="S4" i="2"/>
  <c r="T4" i="2"/>
  <c r="O36" i="2"/>
  <c r="S36" i="2"/>
  <c r="L36" i="2"/>
  <c r="C44" i="3"/>
  <c r="J19" i="4"/>
  <c r="N21" i="4"/>
  <c r="N22" i="4"/>
  <c r="N24" i="4"/>
  <c r="N26" i="4"/>
  <c r="H121" i="2"/>
  <c r="H3" i="2"/>
  <c r="T11" i="2"/>
  <c r="T35" i="2"/>
  <c r="T40" i="2"/>
  <c r="M25" i="1"/>
  <c r="F19" i="24"/>
  <c r="F16" i="24"/>
  <c r="D21" i="24"/>
  <c r="D22" i="24"/>
  <c r="D24" i="24"/>
  <c r="D26" i="24"/>
  <c r="M19" i="24"/>
  <c r="W21" i="24"/>
  <c r="W22" i="24"/>
  <c r="W26" i="24"/>
  <c r="E24" i="24"/>
  <c r="E21" i="24"/>
  <c r="E22" i="24"/>
  <c r="T37" i="2"/>
  <c r="P47" i="2"/>
  <c r="O2" i="2"/>
  <c r="S2" i="2"/>
  <c r="T2" i="2"/>
  <c r="L2" i="2"/>
  <c r="L25" i="2"/>
  <c r="L122" i="2"/>
  <c r="AC49" i="24"/>
  <c r="AD49" i="24"/>
  <c r="O25" i="2"/>
  <c r="S25" i="2"/>
  <c r="T25" i="2"/>
  <c r="P20" i="2"/>
  <c r="S20" i="2"/>
  <c r="O35" i="2"/>
  <c r="S35" i="2"/>
  <c r="L35" i="2"/>
  <c r="L40" i="2"/>
  <c r="L47" i="2"/>
  <c r="O47" i="2"/>
  <c r="S47" i="2"/>
  <c r="K54" i="2"/>
  <c r="H54" i="2"/>
  <c r="H58" i="2"/>
  <c r="H60" i="2"/>
  <c r="K69" i="2"/>
  <c r="O69" i="2"/>
  <c r="S69" i="2"/>
  <c r="H69" i="2"/>
  <c r="T19" i="24"/>
  <c r="C82" i="24"/>
  <c r="C43" i="24"/>
  <c r="X82" i="4"/>
  <c r="X52" i="4"/>
  <c r="G82" i="4"/>
  <c r="G52" i="4"/>
  <c r="T5" i="2"/>
  <c r="T20" i="2"/>
  <c r="T38" i="2"/>
  <c r="T47" i="2"/>
  <c r="T43" i="2"/>
  <c r="O3" i="2"/>
  <c r="S3" i="2"/>
  <c r="T3" i="2"/>
  <c r="L3" i="2"/>
  <c r="L100" i="2"/>
  <c r="AC35" i="24"/>
  <c r="AD35" i="24"/>
  <c r="L12" i="2"/>
  <c r="L109" i="2"/>
  <c r="AC42" i="24"/>
  <c r="AD42" i="24"/>
  <c r="O12" i="2"/>
  <c r="O23" i="2"/>
  <c r="L23" i="2"/>
  <c r="L120" i="2"/>
  <c r="L43" i="2"/>
  <c r="O43" i="2"/>
  <c r="S43" i="2"/>
  <c r="L84" i="2"/>
  <c r="O19" i="24"/>
  <c r="W82" i="4"/>
  <c r="W52" i="4"/>
  <c r="R82" i="4"/>
  <c r="R52" i="4"/>
  <c r="J82" i="4"/>
  <c r="J52" i="4"/>
  <c r="C82" i="4"/>
  <c r="C52" i="4"/>
  <c r="T36" i="2"/>
  <c r="T44" i="2"/>
  <c r="T52" i="2"/>
  <c r="T70" i="2"/>
  <c r="T103" i="2"/>
  <c r="P4" i="2"/>
  <c r="P2" i="2"/>
  <c r="P43" i="2"/>
  <c r="L14" i="2"/>
  <c r="O14" i="2"/>
  <c r="S14" i="2"/>
  <c r="T14" i="2"/>
  <c r="L16" i="2"/>
  <c r="O45" i="2"/>
  <c r="L45" i="2"/>
  <c r="L76" i="2"/>
  <c r="L80" i="2"/>
  <c r="O76" i="2"/>
  <c r="L86" i="2"/>
  <c r="O86" i="2"/>
  <c r="S84" i="2"/>
  <c r="T84" i="2"/>
  <c r="P84" i="2"/>
  <c r="P117" i="2"/>
  <c r="E36" i="1"/>
  <c r="F36" i="1"/>
  <c r="F41" i="1"/>
  <c r="T85" i="2"/>
  <c r="T118" i="2"/>
  <c r="O22" i="2"/>
  <c r="P37" i="2"/>
  <c r="P56" i="2"/>
  <c r="L20" i="2"/>
  <c r="L117" i="2"/>
  <c r="L37" i="2"/>
  <c r="L85" i="2"/>
  <c r="L83" i="2"/>
  <c r="F39" i="1"/>
  <c r="P3" i="2"/>
  <c r="P15" i="2"/>
  <c r="P11" i="2"/>
  <c r="P19" i="2"/>
  <c r="P36" i="2"/>
  <c r="P34" i="2"/>
  <c r="P57" i="2"/>
  <c r="P67" i="2"/>
  <c r="P100" i="2"/>
  <c r="P79" i="2"/>
  <c r="P112" i="2"/>
  <c r="P75" i="2"/>
  <c r="P83" i="2"/>
  <c r="L6" i="2"/>
  <c r="L103" i="2"/>
  <c r="AC38" i="24"/>
  <c r="AD38" i="24"/>
  <c r="L5" i="2"/>
  <c r="O13" i="2"/>
  <c r="L13" i="2"/>
  <c r="L110" i="2"/>
  <c r="L53" i="2"/>
  <c r="L51" i="2"/>
  <c r="F38" i="1"/>
  <c r="P38" i="23"/>
  <c r="E57" i="23"/>
  <c r="H9" i="1"/>
  <c r="H11" i="1"/>
  <c r="F42" i="1"/>
  <c r="D6" i="1"/>
  <c r="C9" i="1"/>
  <c r="O25" i="1"/>
  <c r="D45" i="1"/>
  <c r="F44" i="1"/>
  <c r="AD39" i="24"/>
  <c r="F37" i="1"/>
  <c r="F24" i="1"/>
  <c r="F22" i="1"/>
  <c r="K38" i="23"/>
  <c r="T38" i="23"/>
  <c r="AN37" i="23"/>
  <c r="AN4" i="23"/>
  <c r="S38" i="23"/>
  <c r="A38" i="23"/>
  <c r="A54" i="23"/>
  <c r="D14" i="22"/>
  <c r="C14" i="22"/>
  <c r="K28" i="4"/>
  <c r="K65" i="4"/>
  <c r="T117" i="2"/>
  <c r="T90" i="2"/>
  <c r="T65" i="4"/>
  <c r="T28" i="4"/>
  <c r="W28" i="24"/>
  <c r="W65" i="24"/>
  <c r="S76" i="2"/>
  <c r="T76" i="2"/>
  <c r="P76" i="2"/>
  <c r="P109" i="2"/>
  <c r="P8" i="2"/>
  <c r="O24" i="24"/>
  <c r="O26" i="24"/>
  <c r="O21" i="24"/>
  <c r="O22" i="24"/>
  <c r="L48" i="2"/>
  <c r="L108" i="2"/>
  <c r="C52" i="24"/>
  <c r="AB43" i="24"/>
  <c r="AB52" i="24"/>
  <c r="T8" i="2"/>
  <c r="D65" i="24"/>
  <c r="D28" i="24"/>
  <c r="N65" i="4"/>
  <c r="N28" i="4"/>
  <c r="B52" i="4"/>
  <c r="AB43" i="4"/>
  <c r="AB52" i="4"/>
  <c r="E29" i="1"/>
  <c r="C26" i="24"/>
  <c r="AC46" i="4"/>
  <c r="AD46" i="4"/>
  <c r="D117" i="2"/>
  <c r="X65" i="4"/>
  <c r="X28" i="4"/>
  <c r="L118" i="2"/>
  <c r="AC46" i="24"/>
  <c r="AD46" i="24"/>
  <c r="L65" i="24"/>
  <c r="L28" i="24"/>
  <c r="H28" i="4"/>
  <c r="H65" i="4"/>
  <c r="U21" i="24"/>
  <c r="U22" i="24"/>
  <c r="U24" i="24"/>
  <c r="U26" i="24"/>
  <c r="B28" i="4"/>
  <c r="B65" i="4"/>
  <c r="P72" i="2"/>
  <c r="P99" i="2"/>
  <c r="P105" i="2"/>
  <c r="D66" i="4"/>
  <c r="D68" i="4"/>
  <c r="D69" i="4"/>
  <c r="D32" i="4"/>
  <c r="D67" i="4"/>
  <c r="F67" i="4"/>
  <c r="F66" i="4"/>
  <c r="F68" i="4"/>
  <c r="F69" i="4"/>
  <c r="F32" i="4"/>
  <c r="R67" i="24"/>
  <c r="R68" i="24"/>
  <c r="R69" i="24"/>
  <c r="R32" i="24"/>
  <c r="R66" i="24"/>
  <c r="B67" i="24"/>
  <c r="B68" i="24"/>
  <c r="B69" i="24"/>
  <c r="B32" i="24"/>
  <c r="B66" i="24"/>
  <c r="J67" i="24"/>
  <c r="J66" i="24"/>
  <c r="J27" i="24"/>
  <c r="J29" i="24"/>
  <c r="J54" i="24"/>
  <c r="X66" i="24"/>
  <c r="X68" i="24"/>
  <c r="X69" i="24"/>
  <c r="X32" i="24"/>
  <c r="X67" i="24"/>
  <c r="E45" i="1"/>
  <c r="D23" i="1"/>
  <c r="AC50" i="24"/>
  <c r="AD50" i="24"/>
  <c r="D120" i="2"/>
  <c r="T24" i="24"/>
  <c r="T26" i="24"/>
  <c r="T21" i="24"/>
  <c r="T22" i="24"/>
  <c r="L54" i="2"/>
  <c r="L119" i="2"/>
  <c r="AC47" i="24"/>
  <c r="AD47" i="24"/>
  <c r="O54" i="2"/>
  <c r="E26" i="24"/>
  <c r="V28" i="24"/>
  <c r="V65" i="24"/>
  <c r="G28" i="24"/>
  <c r="G65" i="24"/>
  <c r="L113" i="2"/>
  <c r="H26" i="2"/>
  <c r="H21" i="24"/>
  <c r="H22" i="24"/>
  <c r="H24" i="24"/>
  <c r="H26" i="24"/>
  <c r="AC41" i="4"/>
  <c r="AD41" i="4"/>
  <c r="E26" i="4"/>
  <c r="H119" i="2"/>
  <c r="V24" i="4"/>
  <c r="V26" i="4"/>
  <c r="V21" i="4"/>
  <c r="V22" i="4"/>
  <c r="P26" i="24"/>
  <c r="C67" i="4"/>
  <c r="C66" i="4"/>
  <c r="P90" i="2"/>
  <c r="P116" i="2"/>
  <c r="P22" i="2"/>
  <c r="P26" i="2"/>
  <c r="S22" i="2"/>
  <c r="T22" i="2"/>
  <c r="T26" i="2"/>
  <c r="T28" i="2"/>
  <c r="S86" i="2"/>
  <c r="T86" i="2"/>
  <c r="T119" i="2"/>
  <c r="P86" i="2"/>
  <c r="P119" i="2"/>
  <c r="L111" i="2"/>
  <c r="P23" i="2"/>
  <c r="S23" i="2"/>
  <c r="T23" i="2"/>
  <c r="L116" i="2"/>
  <c r="H100" i="2"/>
  <c r="H8" i="2"/>
  <c r="J24" i="4"/>
  <c r="J21" i="4"/>
  <c r="J22" i="4"/>
  <c r="N65" i="24"/>
  <c r="N28" i="24"/>
  <c r="H102" i="2"/>
  <c r="P26" i="4"/>
  <c r="L21" i="4"/>
  <c r="L22" i="4"/>
  <c r="L24" i="4"/>
  <c r="L26" i="4"/>
  <c r="M26" i="4"/>
  <c r="T105" i="2"/>
  <c r="D122" i="2"/>
  <c r="W26" i="4"/>
  <c r="AC42" i="4"/>
  <c r="AD42" i="4"/>
  <c r="H113" i="2"/>
  <c r="AC45" i="4"/>
  <c r="AD45" i="4"/>
  <c r="S67" i="4"/>
  <c r="S66" i="4"/>
  <c r="S27" i="4"/>
  <c r="S29" i="4"/>
  <c r="S54" i="4"/>
  <c r="S68" i="24"/>
  <c r="S69" i="24"/>
  <c r="S32" i="24"/>
  <c r="D26" i="1"/>
  <c r="P13" i="2"/>
  <c r="S13" i="2"/>
  <c r="T13" i="2"/>
  <c r="P108" i="2"/>
  <c r="P113" i="2"/>
  <c r="P40" i="2"/>
  <c r="L90" i="2"/>
  <c r="L92" i="2"/>
  <c r="P78" i="2"/>
  <c r="P111" i="2"/>
  <c r="P14" i="2"/>
  <c r="P16" i="2"/>
  <c r="P45" i="2"/>
  <c r="S45" i="2"/>
  <c r="T45" i="2"/>
  <c r="T48" i="2"/>
  <c r="P48" i="2"/>
  <c r="P12" i="2"/>
  <c r="S12" i="2"/>
  <c r="T12" i="2"/>
  <c r="T16" i="2"/>
  <c r="P25" i="2"/>
  <c r="L8" i="2"/>
  <c r="L99" i="2"/>
  <c r="M24" i="24"/>
  <c r="M26" i="24"/>
  <c r="M21" i="24"/>
  <c r="M22" i="24"/>
  <c r="F24" i="24"/>
  <c r="F26" i="24"/>
  <c r="F21" i="24"/>
  <c r="F22" i="24"/>
  <c r="L26" i="2"/>
  <c r="AC48" i="4"/>
  <c r="AD48" i="4"/>
  <c r="D121" i="2"/>
  <c r="B49" i="3"/>
  <c r="B52" i="3"/>
  <c r="L101" i="2"/>
  <c r="D103" i="2"/>
  <c r="AC38" i="4"/>
  <c r="AD38" i="4"/>
  <c r="AD34" i="4"/>
  <c r="D112" i="2"/>
  <c r="G65" i="4"/>
  <c r="G28" i="4"/>
  <c r="L69" i="2"/>
  <c r="L72" i="2"/>
  <c r="AB24" i="4"/>
  <c r="S77" i="2"/>
  <c r="T77" i="2"/>
  <c r="T110" i="2"/>
  <c r="P77" i="2"/>
  <c r="P110" i="2"/>
  <c r="D110" i="2"/>
  <c r="O26" i="4"/>
  <c r="T72" i="2"/>
  <c r="H16" i="2"/>
  <c r="R26" i="4"/>
  <c r="F15" i="1"/>
  <c r="F17" i="1"/>
  <c r="AN38" i="23"/>
  <c r="H57" i="23"/>
  <c r="E6" i="1"/>
  <c r="F6" i="1"/>
  <c r="O7" i="1"/>
  <c r="O9" i="1"/>
  <c r="B7" i="1"/>
  <c r="F45" i="1"/>
  <c r="AD43" i="4"/>
  <c r="P28" i="2"/>
  <c r="H28" i="2"/>
  <c r="H97" i="2"/>
  <c r="B29" i="1"/>
  <c r="P124" i="2"/>
  <c r="B67" i="4"/>
  <c r="B68" i="4"/>
  <c r="B69" i="4"/>
  <c r="B32" i="4"/>
  <c r="B66" i="4"/>
  <c r="B27" i="4"/>
  <c r="B29" i="4"/>
  <c r="B54" i="4"/>
  <c r="H66" i="4"/>
  <c r="H27" i="4"/>
  <c r="H29" i="4"/>
  <c r="H54" i="4"/>
  <c r="H67" i="4"/>
  <c r="L66" i="24"/>
  <c r="L27" i="24"/>
  <c r="L29" i="24"/>
  <c r="L54" i="24"/>
  <c r="L68" i="24"/>
  <c r="L69" i="24"/>
  <c r="L32" i="24"/>
  <c r="L67" i="24"/>
  <c r="T92" i="2"/>
  <c r="D7" i="1"/>
  <c r="E7" i="1"/>
  <c r="F7" i="1"/>
  <c r="O28" i="4"/>
  <c r="O65" i="4"/>
  <c r="P80" i="2"/>
  <c r="P92" i="2"/>
  <c r="P97" i="2"/>
  <c r="B31" i="1"/>
  <c r="D31" i="1"/>
  <c r="E31" i="1"/>
  <c r="F31" i="1"/>
  <c r="M65" i="4"/>
  <c r="M28" i="4"/>
  <c r="N66" i="24"/>
  <c r="N27" i="24"/>
  <c r="N29" i="24"/>
  <c r="N54" i="24"/>
  <c r="N67" i="24"/>
  <c r="D100" i="2"/>
  <c r="AC35" i="4"/>
  <c r="H105" i="2"/>
  <c r="AC43" i="24"/>
  <c r="AD43" i="24"/>
  <c r="D111" i="2"/>
  <c r="C27" i="4"/>
  <c r="C29" i="4"/>
  <c r="C54" i="4"/>
  <c r="R27" i="24"/>
  <c r="R29" i="24"/>
  <c r="R54" i="24"/>
  <c r="F27" i="4"/>
  <c r="F29" i="4"/>
  <c r="F54" i="4"/>
  <c r="X67" i="4"/>
  <c r="X68" i="4"/>
  <c r="X69" i="4"/>
  <c r="X32" i="4"/>
  <c r="X66" i="4"/>
  <c r="AB24" i="24"/>
  <c r="T109" i="2"/>
  <c r="T80" i="2"/>
  <c r="W66" i="24"/>
  <c r="W27" i="24"/>
  <c r="W29" i="24"/>
  <c r="W54" i="24"/>
  <c r="W67" i="24"/>
  <c r="W68" i="24"/>
  <c r="W69" i="24"/>
  <c r="W32" i="24"/>
  <c r="G66" i="4"/>
  <c r="G67" i="4"/>
  <c r="G68" i="4"/>
  <c r="G69" i="4"/>
  <c r="G32" i="4"/>
  <c r="F28" i="24"/>
  <c r="F65" i="24"/>
  <c r="P28" i="4"/>
  <c r="P65" i="4"/>
  <c r="P28" i="24"/>
  <c r="P65" i="24"/>
  <c r="E28" i="4"/>
  <c r="E65" i="4"/>
  <c r="R65" i="4"/>
  <c r="R28" i="4"/>
  <c r="AC36" i="24"/>
  <c r="AD36" i="24"/>
  <c r="D101" i="2"/>
  <c r="L28" i="2"/>
  <c r="M28" i="24"/>
  <c r="M65" i="24"/>
  <c r="W28" i="4"/>
  <c r="W65" i="4"/>
  <c r="L65" i="4"/>
  <c r="L28" i="4"/>
  <c r="AC37" i="4"/>
  <c r="AD37" i="4"/>
  <c r="AC45" i="24"/>
  <c r="AD45" i="24"/>
  <c r="D116" i="2"/>
  <c r="V28" i="4"/>
  <c r="V65" i="4"/>
  <c r="H65" i="24"/>
  <c r="H28" i="24"/>
  <c r="E28" i="24"/>
  <c r="E65" i="24"/>
  <c r="T65" i="24"/>
  <c r="T28" i="24"/>
  <c r="E23" i="1"/>
  <c r="E26" i="1"/>
  <c r="E4" i="1"/>
  <c r="X27" i="24"/>
  <c r="X29" i="24"/>
  <c r="X54" i="24"/>
  <c r="D27" i="4"/>
  <c r="D29" i="4"/>
  <c r="D54" i="4"/>
  <c r="U28" i="24"/>
  <c r="U65" i="24"/>
  <c r="C28" i="24"/>
  <c r="C65" i="24"/>
  <c r="AB26" i="24"/>
  <c r="N66" i="4"/>
  <c r="N68" i="4"/>
  <c r="N69" i="4"/>
  <c r="N32" i="4"/>
  <c r="N67" i="4"/>
  <c r="D66" i="24"/>
  <c r="D67" i="24"/>
  <c r="O65" i="24"/>
  <c r="O28" i="24"/>
  <c r="L102" i="2"/>
  <c r="AC37" i="24"/>
  <c r="AD37" i="24"/>
  <c r="K66" i="4"/>
  <c r="K27" i="4"/>
  <c r="K29" i="4"/>
  <c r="K54" i="4"/>
  <c r="K67" i="4"/>
  <c r="AC34" i="24"/>
  <c r="D99" i="2"/>
  <c r="S68" i="4"/>
  <c r="S69" i="4"/>
  <c r="S32" i="4"/>
  <c r="J26" i="4"/>
  <c r="C68" i="4"/>
  <c r="C69" i="4"/>
  <c r="C32" i="4"/>
  <c r="D119" i="2"/>
  <c r="AC47" i="4"/>
  <c r="AD47" i="4"/>
  <c r="G66" i="24"/>
  <c r="G68" i="24"/>
  <c r="G69" i="24"/>
  <c r="G32" i="24"/>
  <c r="G67" i="24"/>
  <c r="V66" i="24"/>
  <c r="V27" i="24"/>
  <c r="V29" i="24"/>
  <c r="V54" i="24"/>
  <c r="V67" i="24"/>
  <c r="P54" i="2"/>
  <c r="P58" i="2"/>
  <c r="P60" i="2"/>
  <c r="S54" i="2"/>
  <c r="T54" i="2"/>
  <c r="T58" i="2"/>
  <c r="T60" i="2"/>
  <c r="J68" i="24"/>
  <c r="J69" i="24"/>
  <c r="J32" i="24"/>
  <c r="B27" i="24"/>
  <c r="B29" i="24"/>
  <c r="B54" i="24"/>
  <c r="AB26" i="4"/>
  <c r="D118" i="2"/>
  <c r="AC41" i="24"/>
  <c r="AD41" i="24"/>
  <c r="D108" i="2"/>
  <c r="L58" i="2"/>
  <c r="L60" i="2"/>
  <c r="L97" i="2"/>
  <c r="B30" i="1"/>
  <c r="D30" i="1"/>
  <c r="T67" i="4"/>
  <c r="T66" i="4"/>
  <c r="T68" i="4"/>
  <c r="T69" i="4"/>
  <c r="T32" i="4"/>
  <c r="K57" i="23"/>
  <c r="O10" i="1"/>
  <c r="E30" i="1"/>
  <c r="V68" i="24"/>
  <c r="V69" i="24"/>
  <c r="V32" i="24"/>
  <c r="O67" i="24"/>
  <c r="O68" i="24"/>
  <c r="O69" i="24"/>
  <c r="O32" i="24"/>
  <c r="O66" i="24"/>
  <c r="D27" i="24"/>
  <c r="D29" i="24"/>
  <c r="D54" i="24"/>
  <c r="O66" i="4"/>
  <c r="O27" i="4"/>
  <c r="O29" i="4"/>
  <c r="O54" i="4"/>
  <c r="O67" i="4"/>
  <c r="T97" i="2"/>
  <c r="H68" i="4"/>
  <c r="H69" i="4"/>
  <c r="H32" i="4"/>
  <c r="G27" i="24"/>
  <c r="G29" i="24"/>
  <c r="G54" i="24"/>
  <c r="J28" i="4"/>
  <c r="AB28" i="4"/>
  <c r="J65" i="4"/>
  <c r="L105" i="2"/>
  <c r="L124" i="2"/>
  <c r="K68" i="4"/>
  <c r="K69" i="4"/>
  <c r="K32" i="4"/>
  <c r="C66" i="24"/>
  <c r="C27" i="24"/>
  <c r="C29" i="24"/>
  <c r="C54" i="24"/>
  <c r="C67" i="24"/>
  <c r="U67" i="24"/>
  <c r="U68" i="24"/>
  <c r="U69" i="24"/>
  <c r="U32" i="24"/>
  <c r="U66" i="24"/>
  <c r="F23" i="1"/>
  <c r="F26" i="1"/>
  <c r="T66" i="24"/>
  <c r="T27" i="24"/>
  <c r="T29" i="24"/>
  <c r="T54" i="24"/>
  <c r="T68" i="24"/>
  <c r="T69" i="24"/>
  <c r="T32" i="24"/>
  <c r="T67" i="24"/>
  <c r="V66" i="4"/>
  <c r="V27" i="4"/>
  <c r="V29" i="4"/>
  <c r="V54" i="4"/>
  <c r="V67" i="4"/>
  <c r="V68" i="4"/>
  <c r="V69" i="4"/>
  <c r="V32" i="4"/>
  <c r="L67" i="4"/>
  <c r="L68" i="4"/>
  <c r="L69" i="4"/>
  <c r="L32" i="4"/>
  <c r="L66" i="4"/>
  <c r="L27" i="4"/>
  <c r="L29" i="4"/>
  <c r="L54" i="4"/>
  <c r="F67" i="24"/>
  <c r="F66" i="24"/>
  <c r="G27" i="4"/>
  <c r="G29" i="4"/>
  <c r="G54" i="4"/>
  <c r="X27" i="4"/>
  <c r="X29" i="4"/>
  <c r="X54" i="4"/>
  <c r="H124" i="2"/>
  <c r="N68" i="24"/>
  <c r="N69" i="24"/>
  <c r="N32" i="24"/>
  <c r="M66" i="4"/>
  <c r="M27" i="4"/>
  <c r="M29" i="4"/>
  <c r="M54" i="4"/>
  <c r="M67" i="4"/>
  <c r="AD34" i="24"/>
  <c r="AC52" i="24"/>
  <c r="AD52" i="24"/>
  <c r="F4" i="1"/>
  <c r="H67" i="24"/>
  <c r="H68" i="24"/>
  <c r="H69" i="24"/>
  <c r="H32" i="24"/>
  <c r="H66" i="24"/>
  <c r="D102" i="2"/>
  <c r="W66" i="4"/>
  <c r="W67" i="4"/>
  <c r="M66" i="24"/>
  <c r="M67" i="24"/>
  <c r="M68" i="24"/>
  <c r="M69" i="24"/>
  <c r="M32" i="24"/>
  <c r="R67" i="4"/>
  <c r="R68" i="4"/>
  <c r="R69" i="4"/>
  <c r="R32" i="4"/>
  <c r="R66" i="4"/>
  <c r="R27" i="4"/>
  <c r="R29" i="4"/>
  <c r="R54" i="4"/>
  <c r="P67" i="4"/>
  <c r="P66" i="4"/>
  <c r="T113" i="2"/>
  <c r="D109" i="2"/>
  <c r="AD35" i="4"/>
  <c r="AC52" i="4"/>
  <c r="AD52" i="4"/>
  <c r="T27" i="4"/>
  <c r="T29" i="4"/>
  <c r="T54" i="4"/>
  <c r="AB29" i="4"/>
  <c r="D68" i="24"/>
  <c r="D69" i="24"/>
  <c r="D32" i="24"/>
  <c r="N27" i="4"/>
  <c r="N29" i="4"/>
  <c r="N54" i="4"/>
  <c r="AB28" i="24"/>
  <c r="AB29" i="24"/>
  <c r="AD29" i="24"/>
  <c r="AD54" i="24"/>
  <c r="E66" i="24"/>
  <c r="E27" i="24"/>
  <c r="E29" i="24"/>
  <c r="E54" i="24"/>
  <c r="E67" i="24"/>
  <c r="E66" i="4"/>
  <c r="E27" i="4"/>
  <c r="E29" i="4"/>
  <c r="E54" i="4"/>
  <c r="E67" i="4"/>
  <c r="P67" i="24"/>
  <c r="P66" i="24"/>
  <c r="P68" i="24"/>
  <c r="P69" i="24"/>
  <c r="P32" i="24"/>
  <c r="D29" i="1"/>
  <c r="P21" i="1"/>
  <c r="AD29" i="4"/>
  <c r="AD54" i="4"/>
  <c r="P27" i="24"/>
  <c r="P29" i="24"/>
  <c r="P54" i="24"/>
  <c r="E68" i="4"/>
  <c r="E69" i="4"/>
  <c r="E32" i="4"/>
  <c r="D113" i="2"/>
  <c r="T124" i="2"/>
  <c r="M27" i="24"/>
  <c r="M29" i="24"/>
  <c r="M54" i="24"/>
  <c r="W27" i="4"/>
  <c r="W29" i="4"/>
  <c r="W54" i="4"/>
  <c r="B32" i="1"/>
  <c r="T98" i="2"/>
  <c r="E68" i="24"/>
  <c r="E69" i="24"/>
  <c r="E32" i="24"/>
  <c r="P27" i="4"/>
  <c r="P29" i="4"/>
  <c r="P54" i="4"/>
  <c r="F27" i="24"/>
  <c r="F29" i="24"/>
  <c r="F54" i="24"/>
  <c r="C68" i="24"/>
  <c r="C69" i="24"/>
  <c r="C32" i="24"/>
  <c r="O68" i="4"/>
  <c r="O69" i="4"/>
  <c r="O32" i="4"/>
  <c r="F29" i="1"/>
  <c r="P68" i="4"/>
  <c r="P69" i="4"/>
  <c r="P32" i="4"/>
  <c r="W68" i="4"/>
  <c r="W69" i="4"/>
  <c r="W32" i="4"/>
  <c r="H27" i="24"/>
  <c r="H29" i="24"/>
  <c r="H54" i="24"/>
  <c r="M68" i="4"/>
  <c r="M69" i="4"/>
  <c r="M32" i="4"/>
  <c r="D105" i="2"/>
  <c r="D124" i="2"/>
  <c r="F68" i="24"/>
  <c r="F69" i="24"/>
  <c r="F32" i="24"/>
  <c r="U27" i="24"/>
  <c r="U29" i="24"/>
  <c r="U54" i="24"/>
  <c r="J66" i="4"/>
  <c r="J68" i="4"/>
  <c r="J69" i="4"/>
  <c r="J32" i="4"/>
  <c r="J67" i="4"/>
  <c r="O27" i="24"/>
  <c r="O29" i="24"/>
  <c r="O54" i="24"/>
  <c r="F30" i="1"/>
  <c r="AB32" i="4"/>
  <c r="AD32" i="4"/>
  <c r="Q21" i="1"/>
  <c r="Q25" i="1"/>
  <c r="P25" i="1"/>
  <c r="P7" i="1"/>
  <c r="AB32" i="24"/>
  <c r="AD32" i="24"/>
  <c r="J27" i="4"/>
  <c r="J29" i="4"/>
  <c r="J54" i="4"/>
  <c r="D32" i="1"/>
  <c r="B33" i="1"/>
  <c r="B5" i="1"/>
  <c r="D5" i="1"/>
  <c r="D9" i="1"/>
  <c r="B9" i="1"/>
  <c r="E32" i="1"/>
  <c r="E33" i="1"/>
  <c r="E5" i="1"/>
  <c r="F32" i="1"/>
  <c r="F33" i="1"/>
  <c r="D33" i="1"/>
  <c r="Q7" i="1"/>
  <c r="Q9" i="1"/>
  <c r="P9" i="1"/>
  <c r="D10" i="1"/>
  <c r="D11" i="1"/>
  <c r="P10" i="1"/>
  <c r="F5" i="1"/>
  <c r="F9" i="1"/>
  <c r="E9" i="1"/>
  <c r="E11" i="1"/>
  <c r="B11" i="1"/>
  <c r="B10" i="1"/>
  <c r="E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Robinson Andrea (2017)</author>
  </authors>
  <commentList>
    <comment ref="J6" authorId="0" shapeId="0" xr:uid="{00000000-0006-0000-0000-000001000000}">
      <text>
        <r>
          <rPr>
            <b/>
            <sz val="9"/>
            <color indexed="81"/>
            <rFont val="Tahoma"/>
            <family val="2"/>
          </rPr>
          <t>Robinson Andrea (2017):</t>
        </r>
        <r>
          <rPr>
            <sz val="9"/>
            <color indexed="81"/>
            <rFont val="Tahoma"/>
            <family val="2"/>
          </rPr>
          <t xml:space="preserve">
JT - £269k less Salaries for Tech Co &amp; Proj Ad = £42750</t>
        </r>
      </text>
    </comment>
    <comment ref="H11" authorId="0" shapeId="0" xr:uid="{00000000-0006-0000-0000-000002000000}">
      <text>
        <r>
          <rPr>
            <b/>
            <sz val="9"/>
            <color indexed="81"/>
            <rFont val="Tahoma"/>
            <family val="2"/>
          </rPr>
          <t>Robinson Andrea (2017):</t>
        </r>
        <r>
          <rPr>
            <sz val="9"/>
            <color indexed="81"/>
            <rFont val="Tahoma"/>
            <family val="2"/>
          </rPr>
          <t xml:space="preserve">
Total Expenditure Actual - Income Actual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Robinson Andrea (2017)</author>
    <author>Freeth Thomas (2017)</author>
    <author>Louise Yates</author>
    <author>EJ:</author>
  </authors>
  <commentList>
    <comment ref="C4" authorId="0" shapeId="0" xr:uid="{00000000-0006-0000-0200-00000100000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H4" authorId="0" shapeId="0" xr:uid="{00000000-0006-0000-0200-00000200000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M4" authorId="0" shapeId="0" xr:uid="{00000000-0006-0000-0200-00000300000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N4" authorId="0" shapeId="0" xr:uid="{00000000-0006-0000-0200-00000400000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T4" authorId="0" shapeId="0" xr:uid="{00000000-0006-0000-0200-00000500000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X4" authorId="0" shapeId="0" xr:uid="{00000000-0006-0000-0200-00000600000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F6" authorId="1" shapeId="0" xr:uid="{00000000-0006-0000-0200-000007000000}">
      <text>
        <r>
          <rPr>
            <b/>
            <sz val="9"/>
            <color indexed="81"/>
            <rFont val="Tahoma"/>
            <family val="2"/>
          </rPr>
          <t>Freeth Thomas (2017):</t>
        </r>
        <r>
          <rPr>
            <sz val="9"/>
            <color indexed="81"/>
            <rFont val="Tahoma"/>
            <family val="2"/>
          </rPr>
          <t xml:space="preserve">
Would like to use Winter Garden as a possible future venue.</t>
        </r>
      </text>
    </comment>
    <comment ref="G6" authorId="1" shapeId="0" xr:uid="{00000000-0006-0000-0200-000008000000}">
      <text>
        <r>
          <rPr>
            <b/>
            <sz val="9"/>
            <color indexed="81"/>
            <rFont val="Tahoma"/>
            <family val="2"/>
          </rPr>
          <t>Freeth Thomas (2017):</t>
        </r>
        <r>
          <rPr>
            <sz val="9"/>
            <color indexed="81"/>
            <rFont val="Tahoma"/>
            <family val="2"/>
          </rPr>
          <t xml:space="preserve">
320 seated capacity. Untested standing.</t>
        </r>
      </text>
    </comment>
    <comment ref="H6" authorId="1" shapeId="0" xr:uid="{00000000-0006-0000-0200-000009000000}">
      <text>
        <r>
          <rPr>
            <b/>
            <sz val="9"/>
            <color indexed="81"/>
            <rFont val="Tahoma"/>
            <family val="2"/>
          </rPr>
          <t>Freeth Thomas (2017):</t>
        </r>
        <r>
          <rPr>
            <sz val="9"/>
            <color indexed="81"/>
            <rFont val="Tahoma"/>
            <family val="2"/>
          </rPr>
          <t xml:space="preserve">
Capacitu defined by Joan. Potential to invite more people through schools groups (e.g. Dance or disabled groups invited for this show only)</t>
        </r>
      </text>
    </comment>
    <comment ref="J6" authorId="1" shapeId="0" xr:uid="{00000000-0006-0000-0200-00000A000000}">
      <text>
        <r>
          <rPr>
            <b/>
            <sz val="9"/>
            <color indexed="81"/>
            <rFont val="Tahoma"/>
            <family val="2"/>
          </rPr>
          <t>Freeth Thomas (2017):</t>
        </r>
        <r>
          <rPr>
            <sz val="9"/>
            <color indexed="81"/>
            <rFont val="Tahoma"/>
            <family val="2"/>
          </rPr>
          <t xml:space="preserve">
Chosen because it's ideal for families to access without travel - unlike Kingswood</t>
        </r>
      </text>
    </comment>
    <comment ref="M6" authorId="1" shapeId="0" xr:uid="{00000000-0006-0000-0200-00000B000000}">
      <text>
        <r>
          <rPr>
            <b/>
            <sz val="9"/>
            <color indexed="81"/>
            <rFont val="Tahoma"/>
            <family val="2"/>
          </rPr>
          <t>Freeth Thomas (2017):</t>
        </r>
        <r>
          <rPr>
            <sz val="9"/>
            <color indexed="81"/>
            <rFont val="Tahoma"/>
            <family val="2"/>
          </rPr>
          <t xml:space="preserve">
Could be the shop unit, but would have to drop 1m of space from the width of their stage. No access from wings. To be negotiated with company.</t>
        </r>
      </text>
    </comment>
    <comment ref="N6" authorId="1" shapeId="0" xr:uid="{00000000-0006-0000-0200-00000C00000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R6" authorId="1" shapeId="0" xr:uid="{00000000-0006-0000-0200-00000D000000}">
      <text>
        <r>
          <rPr>
            <b/>
            <sz val="9"/>
            <color indexed="81"/>
            <rFont val="Tahoma"/>
            <family val="2"/>
          </rPr>
          <t>Freeth Thomas (2017):</t>
        </r>
        <r>
          <rPr>
            <sz val="9"/>
            <color indexed="81"/>
            <rFont val="Tahoma"/>
            <family val="2"/>
          </rPr>
          <t xml:space="preserve">
Get In of 6 hours prevents 2 shows</t>
        </r>
      </text>
    </comment>
    <comment ref="V6" authorId="1" shapeId="0" xr:uid="{00000000-0006-0000-0200-00000E000000}">
      <text>
        <r>
          <rPr>
            <b/>
            <sz val="9"/>
            <color indexed="81"/>
            <rFont val="Tahoma"/>
            <family val="2"/>
          </rPr>
          <t>Freeth Thomas (2017):</t>
        </r>
        <r>
          <rPr>
            <sz val="9"/>
            <color indexed="81"/>
            <rFont val="Tahoma"/>
            <family val="2"/>
          </rPr>
          <t xml:space="preserve">
Open the screen at the back of the hall and have a bar in the Heart Space.</t>
        </r>
      </text>
    </comment>
    <comment ref="D8" authorId="1" shapeId="0" xr:uid="{00000000-0006-0000-0200-00000F000000}">
      <text>
        <r>
          <rPr>
            <b/>
            <sz val="9"/>
            <color indexed="81"/>
            <rFont val="Tahoma"/>
            <family val="2"/>
          </rPr>
          <t>Freeth Thomas (2017):</t>
        </r>
        <r>
          <rPr>
            <sz val="9"/>
            <color indexed="81"/>
            <rFont val="Tahoma"/>
            <family val="2"/>
          </rPr>
          <t xml:space="preserve">
Pre-tea time show</t>
        </r>
      </text>
    </comment>
    <comment ref="K8" authorId="1" shapeId="0" xr:uid="{00000000-0006-0000-0200-000010000000}">
      <text>
        <r>
          <rPr>
            <b/>
            <sz val="9"/>
            <color indexed="81"/>
            <rFont val="Tahoma"/>
            <family val="2"/>
          </rPr>
          <t>Freeth Thomas (2017):</t>
        </r>
        <r>
          <rPr>
            <sz val="9"/>
            <color indexed="81"/>
            <rFont val="Tahoma"/>
            <family val="2"/>
          </rPr>
          <t xml:space="preserve">
Soft drink provision for this show</t>
        </r>
      </text>
    </comment>
    <comment ref="R12" authorId="2" shapeId="0" xr:uid="{00000000-0006-0000-0200-000011000000}">
      <text>
        <r>
          <rPr>
            <b/>
            <sz val="9"/>
            <color indexed="81"/>
            <rFont val="Tahoma"/>
            <family val="2"/>
          </rPr>
          <t>Louise Yates:</t>
        </r>
        <r>
          <rPr>
            <sz val="9"/>
            <color indexed="81"/>
            <rFont val="Tahoma"/>
            <family val="2"/>
          </rPr>
          <t xml:space="preserve">
reduced capacity -sSpace for wheel chair users</t>
        </r>
      </text>
    </comment>
    <comment ref="D13" authorId="1" shapeId="0" xr:uid="{00000000-0006-0000-0200-00001200000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3" authorId="1" shapeId="0" xr:uid="{00000000-0006-0000-0200-00001300000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D15" authorId="1" shapeId="0" xr:uid="{00000000-0006-0000-0200-00001400000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5" authorId="1" shapeId="0" xr:uid="{00000000-0006-0000-0200-00001500000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E18" authorId="1" shapeId="0" xr:uid="{00000000-0006-0000-0200-000016000000}">
      <text>
        <r>
          <rPr>
            <b/>
            <sz val="9"/>
            <color indexed="81"/>
            <rFont val="Tahoma"/>
            <family val="2"/>
          </rPr>
          <t>Freeth Thomas (2017):</t>
        </r>
        <r>
          <rPr>
            <sz val="9"/>
            <color indexed="81"/>
            <rFont val="Tahoma"/>
            <family val="2"/>
          </rPr>
          <t xml:space="preserve">
Based roughly on 3 children attending with 1 adult</t>
        </r>
      </text>
    </comment>
    <comment ref="J18" authorId="1" shapeId="0" xr:uid="{00000000-0006-0000-0200-000017000000}">
      <text>
        <r>
          <rPr>
            <b/>
            <sz val="9"/>
            <color indexed="81"/>
            <rFont val="Tahoma"/>
            <family val="2"/>
          </rPr>
          <t>Freeth Thomas (2017):</t>
        </r>
        <r>
          <rPr>
            <sz val="9"/>
            <color indexed="81"/>
            <rFont val="Tahoma"/>
            <family val="2"/>
          </rPr>
          <t xml:space="preserve">
Based roughly on 3 children attending with 1 adult</t>
        </r>
      </text>
    </comment>
    <comment ref="S18" authorId="1" shapeId="0" xr:uid="{00000000-0006-0000-0200-000018000000}">
      <text>
        <r>
          <rPr>
            <b/>
            <sz val="9"/>
            <color indexed="81"/>
            <rFont val="Tahoma"/>
            <family val="2"/>
          </rPr>
          <t>Freeth Thomas (2017):</t>
        </r>
        <r>
          <rPr>
            <sz val="9"/>
            <color indexed="81"/>
            <rFont val="Tahoma"/>
            <family val="2"/>
          </rPr>
          <t xml:space="preserve">
Based roughly on 3 children attending with 1 adult</t>
        </r>
      </text>
    </comment>
    <comment ref="AD29" authorId="0" shapeId="0" xr:uid="{00000000-0006-0000-0200-000019000000}">
      <text>
        <r>
          <rPr>
            <b/>
            <sz val="9"/>
            <color indexed="81"/>
            <rFont val="Tahoma"/>
            <family val="2"/>
          </rPr>
          <t>Robinson Andrea (2017):</t>
        </r>
        <r>
          <rPr>
            <sz val="9"/>
            <color indexed="81"/>
            <rFont val="Tahoma"/>
            <family val="2"/>
          </rPr>
          <t xml:space="preserve">
Income changed from a favourable variance of £2921 to £4508. The change in Income was due to the Secret Gig ticket price being added giving additional income of £526. There was also an error on a formula which resulted in the favourable variance which has now been resolved 1/2/17</t>
        </r>
      </text>
    </comment>
    <comment ref="B31" authorId="1" shapeId="0" xr:uid="{00000000-0006-0000-0200-00001A000000}">
      <text>
        <r>
          <rPr>
            <b/>
            <sz val="9"/>
            <color indexed="81"/>
            <rFont val="Tahoma"/>
            <family val="2"/>
          </rPr>
          <t>Freeth Thomas (2017):</t>
        </r>
        <r>
          <rPr>
            <sz val="9"/>
            <color indexed="81"/>
            <rFont val="Tahoma"/>
            <family val="2"/>
          </rPr>
          <t xml:space="preserve">
Includes travel but not accomodation</t>
        </r>
      </text>
    </comment>
    <comment ref="C31" authorId="1" shapeId="0" xr:uid="{00000000-0006-0000-0200-00001B000000}">
      <text>
        <r>
          <rPr>
            <b/>
            <sz val="9"/>
            <color indexed="81"/>
            <rFont val="Tahoma"/>
            <family val="2"/>
          </rPr>
          <t>Freeth Thomas (2017):</t>
        </r>
        <r>
          <rPr>
            <sz val="9"/>
            <color indexed="81"/>
            <rFont val="Tahoma"/>
            <family val="2"/>
          </rPr>
          <t xml:space="preserve">
Includes accomodation and travel</t>
        </r>
      </text>
    </comment>
    <comment ref="N31" authorId="1" shapeId="0" xr:uid="{00000000-0006-0000-0200-00001C000000}">
      <text>
        <r>
          <rPr>
            <b/>
            <sz val="9"/>
            <color indexed="81"/>
            <rFont val="Tahoma"/>
            <family val="2"/>
          </rPr>
          <t>Freeth Thomas (2017):</t>
        </r>
        <r>
          <rPr>
            <sz val="9"/>
            <color indexed="81"/>
            <rFont val="Tahoma"/>
            <family val="2"/>
          </rPr>
          <t xml:space="preserve">
Includes accomodation and travel</t>
        </r>
      </text>
    </comment>
    <comment ref="X31" authorId="1" shapeId="0" xr:uid="{00000000-0006-0000-0200-00001D000000}">
      <text>
        <r>
          <rPr>
            <b/>
            <sz val="9"/>
            <color indexed="81"/>
            <rFont val="Tahoma"/>
            <family val="2"/>
          </rPr>
          <t>Freeth Thomas (2017):</t>
        </r>
        <r>
          <rPr>
            <sz val="9"/>
            <color indexed="81"/>
            <rFont val="Tahoma"/>
            <family val="2"/>
          </rPr>
          <t xml:space="preserve">
Includes accomodation and travel</t>
        </r>
      </text>
    </comment>
    <comment ref="AD31" authorId="0" shapeId="0" xr:uid="{00000000-0006-0000-0200-00001E000000}">
      <text>
        <r>
          <rPr>
            <b/>
            <sz val="9"/>
            <color indexed="81"/>
            <rFont val="Tahoma"/>
            <family val="2"/>
          </rPr>
          <t>Robinson Andrea (2017):</t>
        </r>
        <r>
          <rPr>
            <sz val="9"/>
            <color indexed="81"/>
            <rFont val="Tahoma"/>
            <family val="2"/>
          </rPr>
          <t xml:space="preserve">
The Secret Gig was increased to £3000, increasing the forecast to £22,300 leaving an adverse variance £250 due to booking an additional celebrity act for the Secret Gig 1/2/17</t>
        </r>
      </text>
    </comment>
    <comment ref="AD36" authorId="0" shapeId="0" xr:uid="{00000000-0006-0000-0200-00001F000000}">
      <text>
        <r>
          <rPr>
            <b/>
            <sz val="9"/>
            <color indexed="81"/>
            <rFont val="Tahoma"/>
            <family val="2"/>
          </rPr>
          <t>Robinson Andrea (2017):</t>
        </r>
        <r>
          <rPr>
            <sz val="9"/>
            <color indexed="81"/>
            <rFont val="Tahoma"/>
            <family val="2"/>
          </rPr>
          <t xml:space="preserve">
Reduced forecast to £550 based upon £250 for Pigeon Detectives deal memo &amp; £30 for Mark Thomas accommodation. This may reduce further 1/2/17 Adverse variance £-130.
</t>
        </r>
      </text>
    </comment>
    <comment ref="AD38" authorId="0" shapeId="0" xr:uid="{00000000-0006-0000-0200-000020000000}">
      <text>
        <r>
          <rPr>
            <b/>
            <sz val="9"/>
            <color indexed="81"/>
            <rFont val="Tahoma"/>
            <family val="2"/>
          </rPr>
          <t>Robinson Andrea (2017):</t>
        </r>
        <r>
          <rPr>
            <sz val="9"/>
            <color indexed="81"/>
            <rFont val="Tahoma"/>
            <family val="2"/>
          </rPr>
          <t xml:space="preserve">
First Aid Costs added hence adverse variance 1/2/17</t>
        </r>
      </text>
    </comment>
    <comment ref="P39" authorId="1" shapeId="0" xr:uid="{00000000-0006-0000-0200-000021000000}">
      <text>
        <r>
          <rPr>
            <b/>
            <sz val="9"/>
            <color indexed="81"/>
            <rFont val="Tahoma"/>
            <family val="2"/>
          </rPr>
          <t>Freeth Thomas (2017):</t>
        </r>
        <r>
          <rPr>
            <sz val="9"/>
            <color indexed="81"/>
            <rFont val="Tahoma"/>
            <family val="2"/>
          </rPr>
          <t xml:space="preserve">
North Point using own security</t>
        </r>
      </text>
    </comment>
    <comment ref="B43" authorId="3" shapeId="0" xr:uid="{00000000-0006-0000-0200-000022000000}">
      <text>
        <r>
          <rPr>
            <sz val="10"/>
            <color indexed="81"/>
            <rFont val="Tahoma"/>
            <family val="2"/>
          </rPr>
          <t>halved - 2 shows per shift surely?</t>
        </r>
        <r>
          <rPr>
            <sz val="9"/>
            <color indexed="81"/>
            <rFont val="Tahoma"/>
            <family val="2"/>
          </rPr>
          <t xml:space="preserve">
</t>
        </r>
      </text>
    </comment>
    <comment ref="C43" authorId="3" shapeId="0" xr:uid="{00000000-0006-0000-0200-000023000000}">
      <text>
        <r>
          <rPr>
            <sz val="10"/>
            <color indexed="81"/>
            <rFont val="Tahoma"/>
            <family val="2"/>
          </rPr>
          <t>halved - 2 shows per shift surely?</t>
        </r>
        <r>
          <rPr>
            <sz val="9"/>
            <color indexed="81"/>
            <rFont val="Tahoma"/>
            <family val="2"/>
          </rPr>
          <t xml:space="preserve">
</t>
        </r>
      </text>
    </comment>
    <comment ref="D43" authorId="3" shapeId="0" xr:uid="{00000000-0006-0000-0200-000024000000}">
      <text>
        <r>
          <rPr>
            <sz val="10"/>
            <color indexed="81"/>
            <rFont val="Tahoma"/>
            <family val="2"/>
          </rPr>
          <t>halved - 2 shows per shift surely?</t>
        </r>
        <r>
          <rPr>
            <sz val="9"/>
            <color indexed="81"/>
            <rFont val="Tahoma"/>
            <family val="2"/>
          </rPr>
          <t xml:space="preserve">
</t>
        </r>
      </text>
    </comment>
    <comment ref="E43" authorId="3" shapeId="0" xr:uid="{00000000-0006-0000-0200-000025000000}">
      <text>
        <r>
          <rPr>
            <sz val="10"/>
            <color indexed="81"/>
            <rFont val="Tahoma"/>
            <family val="2"/>
          </rPr>
          <t>halved - 2 shows per shift surely?</t>
        </r>
        <r>
          <rPr>
            <sz val="9"/>
            <color indexed="81"/>
            <rFont val="Tahoma"/>
            <family val="2"/>
          </rPr>
          <t xml:space="preserve">
</t>
        </r>
      </text>
    </comment>
    <comment ref="F43" authorId="3" shapeId="0" xr:uid="{00000000-0006-0000-0200-000026000000}">
      <text>
        <r>
          <rPr>
            <sz val="10"/>
            <color indexed="81"/>
            <rFont val="Tahoma"/>
            <family val="2"/>
          </rPr>
          <t>halved - 2 shows per shift surely?</t>
        </r>
        <r>
          <rPr>
            <sz val="9"/>
            <color indexed="81"/>
            <rFont val="Tahoma"/>
            <family val="2"/>
          </rPr>
          <t xml:space="preserve">
</t>
        </r>
      </text>
    </comment>
    <comment ref="G43" authorId="3" shapeId="0" xr:uid="{00000000-0006-0000-0200-000027000000}">
      <text>
        <r>
          <rPr>
            <sz val="10"/>
            <color indexed="81"/>
            <rFont val="Tahoma"/>
            <family val="2"/>
          </rPr>
          <t>halved - 2 shows per shift surely?</t>
        </r>
        <r>
          <rPr>
            <sz val="9"/>
            <color indexed="81"/>
            <rFont val="Tahoma"/>
            <family val="2"/>
          </rPr>
          <t xml:space="preserve">
</t>
        </r>
      </text>
    </comment>
    <comment ref="H43" authorId="3" shapeId="0" xr:uid="{00000000-0006-0000-0200-000028000000}">
      <text>
        <r>
          <rPr>
            <sz val="10"/>
            <color indexed="81"/>
            <rFont val="Tahoma"/>
            <family val="2"/>
          </rPr>
          <t>halved - 2 shows per shift surely?</t>
        </r>
        <r>
          <rPr>
            <sz val="9"/>
            <color indexed="81"/>
            <rFont val="Tahoma"/>
            <family val="2"/>
          </rPr>
          <t xml:space="preserve">
</t>
        </r>
      </text>
    </comment>
    <comment ref="J43" authorId="3" shapeId="0" xr:uid="{00000000-0006-0000-0200-000029000000}">
      <text>
        <r>
          <rPr>
            <sz val="10"/>
            <color indexed="81"/>
            <rFont val="Tahoma"/>
            <family val="2"/>
          </rPr>
          <t>halved - 2 shows per shift surely?</t>
        </r>
        <r>
          <rPr>
            <sz val="9"/>
            <color indexed="81"/>
            <rFont val="Tahoma"/>
            <family val="2"/>
          </rPr>
          <t xml:space="preserve">
</t>
        </r>
      </text>
    </comment>
    <comment ref="K43" authorId="3" shapeId="0" xr:uid="{00000000-0006-0000-0200-00002A000000}">
      <text>
        <r>
          <rPr>
            <sz val="10"/>
            <color indexed="81"/>
            <rFont val="Tahoma"/>
            <family val="2"/>
          </rPr>
          <t>halved - 2 shows per shift surely?</t>
        </r>
        <r>
          <rPr>
            <sz val="9"/>
            <color indexed="81"/>
            <rFont val="Tahoma"/>
            <family val="2"/>
          </rPr>
          <t xml:space="preserve">
</t>
        </r>
      </text>
    </comment>
    <comment ref="L43" authorId="3" shapeId="0" xr:uid="{00000000-0006-0000-0200-00002B000000}">
      <text>
        <r>
          <rPr>
            <sz val="10"/>
            <color indexed="81"/>
            <rFont val="Tahoma"/>
            <family val="2"/>
          </rPr>
          <t>halved - 2 shows per shift surely?</t>
        </r>
        <r>
          <rPr>
            <sz val="9"/>
            <color indexed="81"/>
            <rFont val="Tahoma"/>
            <family val="2"/>
          </rPr>
          <t xml:space="preserve">
</t>
        </r>
      </text>
    </comment>
    <comment ref="M43" authorId="3" shapeId="0" xr:uid="{00000000-0006-0000-0200-00002C000000}">
      <text>
        <r>
          <rPr>
            <sz val="10"/>
            <color indexed="81"/>
            <rFont val="Tahoma"/>
            <family val="2"/>
          </rPr>
          <t>halved - 2 shows per shift surely?</t>
        </r>
        <r>
          <rPr>
            <sz val="9"/>
            <color indexed="81"/>
            <rFont val="Tahoma"/>
            <family val="2"/>
          </rPr>
          <t xml:space="preserve">
</t>
        </r>
      </text>
    </comment>
    <comment ref="N43" authorId="3" shapeId="0" xr:uid="{00000000-0006-0000-0200-00002D000000}">
      <text>
        <r>
          <rPr>
            <sz val="10"/>
            <color indexed="81"/>
            <rFont val="Tahoma"/>
            <family val="2"/>
          </rPr>
          <t>halved - 2 shows per shift surely?</t>
        </r>
        <r>
          <rPr>
            <sz val="9"/>
            <color indexed="81"/>
            <rFont val="Tahoma"/>
            <family val="2"/>
          </rPr>
          <t xml:space="preserve">
</t>
        </r>
      </text>
    </comment>
    <comment ref="O43" authorId="3" shapeId="0" xr:uid="{00000000-0006-0000-0200-00002E000000}">
      <text>
        <r>
          <rPr>
            <sz val="10"/>
            <color indexed="81"/>
            <rFont val="Tahoma"/>
            <family val="2"/>
          </rPr>
          <t>halved - 2 shows per shift surely?</t>
        </r>
        <r>
          <rPr>
            <sz val="9"/>
            <color indexed="81"/>
            <rFont val="Tahoma"/>
            <family val="2"/>
          </rPr>
          <t xml:space="preserve">
</t>
        </r>
      </text>
    </comment>
    <comment ref="P43" authorId="3" shapeId="0" xr:uid="{00000000-0006-0000-0200-00002F000000}">
      <text>
        <r>
          <rPr>
            <sz val="10"/>
            <color indexed="81"/>
            <rFont val="Tahoma"/>
            <family val="2"/>
          </rPr>
          <t>halved - 2 shows per shift surely?</t>
        </r>
        <r>
          <rPr>
            <sz val="9"/>
            <color indexed="81"/>
            <rFont val="Tahoma"/>
            <family val="2"/>
          </rPr>
          <t xml:space="preserve">
</t>
        </r>
      </text>
    </comment>
    <comment ref="R43" authorId="3" shapeId="0" xr:uid="{00000000-0006-0000-0200-000030000000}">
      <text>
        <r>
          <rPr>
            <sz val="10"/>
            <color indexed="81"/>
            <rFont val="Tahoma"/>
            <family val="2"/>
          </rPr>
          <t>halved - 2 shows per shift surely?</t>
        </r>
        <r>
          <rPr>
            <sz val="9"/>
            <color indexed="81"/>
            <rFont val="Tahoma"/>
            <family val="2"/>
          </rPr>
          <t xml:space="preserve">
</t>
        </r>
      </text>
    </comment>
    <comment ref="S43" authorId="3" shapeId="0" xr:uid="{00000000-0006-0000-0200-000031000000}">
      <text>
        <r>
          <rPr>
            <sz val="10"/>
            <color indexed="81"/>
            <rFont val="Tahoma"/>
            <family val="2"/>
          </rPr>
          <t>halved - 2 shows per shift surely?</t>
        </r>
        <r>
          <rPr>
            <sz val="9"/>
            <color indexed="81"/>
            <rFont val="Tahoma"/>
            <family val="2"/>
          </rPr>
          <t xml:space="preserve">
</t>
        </r>
      </text>
    </comment>
    <comment ref="T43" authorId="3" shapeId="0" xr:uid="{00000000-0006-0000-0200-000032000000}">
      <text>
        <r>
          <rPr>
            <sz val="10"/>
            <color indexed="81"/>
            <rFont val="Tahoma"/>
            <family val="2"/>
          </rPr>
          <t>halved - 2 shows per shift surely?</t>
        </r>
        <r>
          <rPr>
            <sz val="9"/>
            <color indexed="81"/>
            <rFont val="Tahoma"/>
            <family val="2"/>
          </rPr>
          <t xml:space="preserve">
</t>
        </r>
      </text>
    </comment>
    <comment ref="U43" authorId="3" shapeId="0" xr:uid="{00000000-0006-0000-0200-000033000000}">
      <text>
        <r>
          <rPr>
            <sz val="10"/>
            <color indexed="81"/>
            <rFont val="Tahoma"/>
            <family val="2"/>
          </rPr>
          <t>halved - 2 shows per shift surely?</t>
        </r>
        <r>
          <rPr>
            <sz val="9"/>
            <color indexed="81"/>
            <rFont val="Tahoma"/>
            <family val="2"/>
          </rPr>
          <t xml:space="preserve">
</t>
        </r>
      </text>
    </comment>
    <comment ref="V43" authorId="3" shapeId="0" xr:uid="{00000000-0006-0000-0200-000034000000}">
      <text>
        <r>
          <rPr>
            <sz val="10"/>
            <color indexed="81"/>
            <rFont val="Tahoma"/>
            <family val="2"/>
          </rPr>
          <t>halved - 2 shows per shift surely?</t>
        </r>
        <r>
          <rPr>
            <sz val="9"/>
            <color indexed="81"/>
            <rFont val="Tahoma"/>
            <family val="2"/>
          </rPr>
          <t xml:space="preserve">
</t>
        </r>
      </text>
    </comment>
    <comment ref="W43" authorId="3" shapeId="0" xr:uid="{00000000-0006-0000-0200-000035000000}">
      <text>
        <r>
          <rPr>
            <sz val="10"/>
            <color indexed="81"/>
            <rFont val="Tahoma"/>
            <family val="2"/>
          </rPr>
          <t>halved - 2 shows per shift surely?</t>
        </r>
        <r>
          <rPr>
            <sz val="9"/>
            <color indexed="81"/>
            <rFont val="Tahoma"/>
            <family val="2"/>
          </rPr>
          <t xml:space="preserve">
</t>
        </r>
      </text>
    </comment>
    <comment ref="X43" authorId="3" shapeId="0" xr:uid="{00000000-0006-0000-0200-000036000000}">
      <text>
        <r>
          <rPr>
            <sz val="10"/>
            <color indexed="81"/>
            <rFont val="Tahoma"/>
            <family val="2"/>
          </rPr>
          <t>halved - 2 shows per shift surely?</t>
        </r>
        <r>
          <rPr>
            <sz val="9"/>
            <color indexed="81"/>
            <rFont val="Tahoma"/>
            <family val="2"/>
          </rPr>
          <t xml:space="preserve">
</t>
        </r>
      </text>
    </comment>
    <comment ref="AD43" authorId="0" shapeId="0" xr:uid="{00000000-0006-0000-0200-000037000000}">
      <text>
        <r>
          <rPr>
            <b/>
            <sz val="9"/>
            <color indexed="81"/>
            <rFont val="Tahoma"/>
            <family val="2"/>
          </rPr>
          <t>Robinson Andrea (2017):</t>
        </r>
        <r>
          <rPr>
            <sz val="9"/>
            <color indexed="81"/>
            <rFont val="Tahoma"/>
            <family val="2"/>
          </rPr>
          <t xml:space="preserve">
Originally recruiting &amp; staff with freelancers, now using Events Team for some events &amp; supplement with freelancers. Revised forecast will be £2907.50 but need to confirm with Louise &amp; Carys before changing on V6 1/2/17. This is higher than expected due to additional training, a higher than initially expected fee for the FOH Co-ordinator &amp; more staff hours required to deliver the project. This will show an adverse variance of £-987.50.</t>
        </r>
      </text>
    </comment>
    <comment ref="A71" authorId="1" shapeId="0" xr:uid="{00000000-0006-0000-0200-000038000000}">
      <text>
        <r>
          <rPr>
            <b/>
            <sz val="9"/>
            <color indexed="81"/>
            <rFont val="Tahoma"/>
            <family val="2"/>
          </rPr>
          <t>Freeth Thomas (2017):</t>
        </r>
        <r>
          <rPr>
            <sz val="9"/>
            <color indexed="81"/>
            <rFont val="Tahoma"/>
            <family val="2"/>
          </rPr>
          <t xml:space="preserve">
FOH staff also need to double as Box Office staff</t>
        </r>
      </text>
    </comment>
    <comment ref="A77" authorId="1" shapeId="0" xr:uid="{00000000-0006-0000-0200-000039000000}">
      <text>
        <r>
          <rPr>
            <b/>
            <sz val="9"/>
            <color indexed="81"/>
            <rFont val="Tahoma"/>
            <family val="2"/>
          </rPr>
          <t>Freeth Thomas (2017):</t>
        </r>
        <r>
          <rPr>
            <sz val="9"/>
            <color indexed="81"/>
            <rFont val="Tahoma"/>
            <family val="2"/>
          </rPr>
          <t xml:space="preserve">
FOH Manager is also the volunteer lead</t>
        </r>
      </text>
    </comment>
    <comment ref="A104" authorId="1" shapeId="0" xr:uid="{00000000-0006-0000-0200-00003A000000}">
      <text>
        <r>
          <rPr>
            <b/>
            <sz val="9"/>
            <color indexed="81"/>
            <rFont val="Tahoma"/>
            <family val="2"/>
          </rPr>
          <t>Freeth Thomas (2017):</t>
        </r>
        <r>
          <rPr>
            <sz val="9"/>
            <color indexed="81"/>
            <rFont val="Tahoma"/>
            <family val="2"/>
          </rPr>
          <t xml:space="preserve">
These cells are hidden because the forecast costs no longer apply and these cells no longer link through to the forecast budget.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Robinson Andrea (2017)</author>
    <author>Freeth Thomas (2017)</author>
    <author>Louise Yates</author>
    <author>EJ:</author>
  </authors>
  <commentList>
    <comment ref="C4" authorId="0" shapeId="0" xr:uid="{00000000-0006-0000-0300-00000100000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H4" authorId="0" shapeId="0" xr:uid="{00000000-0006-0000-0300-00000200000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M4" authorId="0" shapeId="0" xr:uid="{00000000-0006-0000-0300-00000300000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N4" authorId="0" shapeId="0" xr:uid="{00000000-0006-0000-0300-00000400000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T4" authorId="0" shapeId="0" xr:uid="{00000000-0006-0000-0300-000005000000}">
      <text>
        <r>
          <rPr>
            <b/>
            <sz val="9"/>
            <color indexed="81"/>
            <rFont val="Tahoma"/>
            <family val="2"/>
          </rPr>
          <t>Robinson Andrea (2017):</t>
        </r>
        <r>
          <rPr>
            <sz val="9"/>
            <color indexed="81"/>
            <rFont val="Tahoma"/>
            <family val="2"/>
          </rPr>
          <t xml:space="preserve">
Double bill with JOAN. Single ticket for both events. Revenue is showing under JOAN only.</t>
        </r>
      </text>
    </comment>
    <comment ref="X4" authorId="0" shapeId="0" xr:uid="{00000000-0006-0000-0300-000006000000}">
      <text>
        <r>
          <rPr>
            <b/>
            <sz val="9"/>
            <color indexed="81"/>
            <rFont val="Tahoma"/>
            <family val="2"/>
          </rPr>
          <t>Robinson Andrea (2017):</t>
        </r>
        <r>
          <rPr>
            <sz val="9"/>
            <color indexed="81"/>
            <rFont val="Tahoma"/>
            <family val="2"/>
          </rPr>
          <t xml:space="preserve">
Double bill with Hekima. Single ticket for both events. Revenue is showing under JOAN only.</t>
        </r>
      </text>
    </comment>
    <comment ref="F6" authorId="1" shapeId="0" xr:uid="{00000000-0006-0000-0300-000007000000}">
      <text>
        <r>
          <rPr>
            <b/>
            <sz val="9"/>
            <color indexed="81"/>
            <rFont val="Tahoma"/>
            <family val="2"/>
          </rPr>
          <t>Freeth Thomas (2017):</t>
        </r>
        <r>
          <rPr>
            <sz val="9"/>
            <color indexed="81"/>
            <rFont val="Tahoma"/>
            <family val="2"/>
          </rPr>
          <t xml:space="preserve">
Would like to use Winter Garden as a possible future venue.</t>
        </r>
      </text>
    </comment>
    <comment ref="G6" authorId="1" shapeId="0" xr:uid="{00000000-0006-0000-0300-000008000000}">
      <text>
        <r>
          <rPr>
            <b/>
            <sz val="9"/>
            <color indexed="81"/>
            <rFont val="Tahoma"/>
            <family val="2"/>
          </rPr>
          <t>Freeth Thomas (2017):</t>
        </r>
        <r>
          <rPr>
            <sz val="9"/>
            <color indexed="81"/>
            <rFont val="Tahoma"/>
            <family val="2"/>
          </rPr>
          <t xml:space="preserve">
320 seated capacity. Untested standing.</t>
        </r>
      </text>
    </comment>
    <comment ref="H6" authorId="1" shapeId="0" xr:uid="{00000000-0006-0000-0300-000009000000}">
      <text>
        <r>
          <rPr>
            <b/>
            <sz val="9"/>
            <color indexed="81"/>
            <rFont val="Tahoma"/>
            <family val="2"/>
          </rPr>
          <t>Freeth Thomas (2017):</t>
        </r>
        <r>
          <rPr>
            <sz val="9"/>
            <color indexed="81"/>
            <rFont val="Tahoma"/>
            <family val="2"/>
          </rPr>
          <t xml:space="preserve">
Capacitu defined by Joan. Potential to invite more people through schools groups (e.g. Dance or disabled groups invited for this show only)</t>
        </r>
      </text>
    </comment>
    <comment ref="J6" authorId="1" shapeId="0" xr:uid="{00000000-0006-0000-0300-00000A000000}">
      <text>
        <r>
          <rPr>
            <b/>
            <sz val="9"/>
            <color indexed="81"/>
            <rFont val="Tahoma"/>
            <family val="2"/>
          </rPr>
          <t>Freeth Thomas (2017):</t>
        </r>
        <r>
          <rPr>
            <sz val="9"/>
            <color indexed="81"/>
            <rFont val="Tahoma"/>
            <family val="2"/>
          </rPr>
          <t xml:space="preserve">
Chosen because it's ideal for families to access without travel - unlike Kingswood</t>
        </r>
      </text>
    </comment>
    <comment ref="M6" authorId="1" shapeId="0" xr:uid="{00000000-0006-0000-0300-00000B000000}">
      <text>
        <r>
          <rPr>
            <b/>
            <sz val="9"/>
            <color indexed="81"/>
            <rFont val="Tahoma"/>
            <family val="2"/>
          </rPr>
          <t>Freeth Thomas (2017):</t>
        </r>
        <r>
          <rPr>
            <sz val="9"/>
            <color indexed="81"/>
            <rFont val="Tahoma"/>
            <family val="2"/>
          </rPr>
          <t xml:space="preserve">
Could be the shop unit, but would have to drop 1m of space from the width of their stage. No access from wings. To be negotiated with company.</t>
        </r>
      </text>
    </comment>
    <comment ref="N6" authorId="1" shapeId="0" xr:uid="{00000000-0006-0000-0300-00000C000000}">
      <text>
        <r>
          <rPr>
            <b/>
            <sz val="9"/>
            <color indexed="81"/>
            <rFont val="Tahoma"/>
            <family val="2"/>
          </rPr>
          <t>Freeth Thomas (2017):</t>
        </r>
        <r>
          <rPr>
            <sz val="9"/>
            <color indexed="81"/>
            <rFont val="Tahoma"/>
            <family val="2"/>
          </rPr>
          <t xml:space="preserve">
Could be in Atrium space - would fit well. Blackout would be darkened skies in February. Can Louise at North Point offer us a guarranteed shop unit for this performance.</t>
        </r>
      </text>
    </comment>
    <comment ref="R6" authorId="1" shapeId="0" xr:uid="{00000000-0006-0000-0300-00000D000000}">
      <text>
        <r>
          <rPr>
            <b/>
            <sz val="9"/>
            <color indexed="81"/>
            <rFont val="Tahoma"/>
            <family val="2"/>
          </rPr>
          <t>Freeth Thomas (2017):</t>
        </r>
        <r>
          <rPr>
            <sz val="9"/>
            <color indexed="81"/>
            <rFont val="Tahoma"/>
            <family val="2"/>
          </rPr>
          <t xml:space="preserve">
Get In of 6 hours prevents 2 shows</t>
        </r>
      </text>
    </comment>
    <comment ref="V6" authorId="1" shapeId="0" xr:uid="{00000000-0006-0000-0300-00000E000000}">
      <text>
        <r>
          <rPr>
            <b/>
            <sz val="9"/>
            <color indexed="81"/>
            <rFont val="Tahoma"/>
            <family val="2"/>
          </rPr>
          <t>Freeth Thomas (2017):</t>
        </r>
        <r>
          <rPr>
            <sz val="9"/>
            <color indexed="81"/>
            <rFont val="Tahoma"/>
            <family val="2"/>
          </rPr>
          <t xml:space="preserve">
Open the screen at the back of the hall and have a bar in the Heart Space.</t>
        </r>
      </text>
    </comment>
    <comment ref="D8" authorId="1" shapeId="0" xr:uid="{00000000-0006-0000-0300-00000F000000}">
      <text>
        <r>
          <rPr>
            <b/>
            <sz val="9"/>
            <color indexed="81"/>
            <rFont val="Tahoma"/>
            <family val="2"/>
          </rPr>
          <t>Freeth Thomas (2017):</t>
        </r>
        <r>
          <rPr>
            <sz val="9"/>
            <color indexed="81"/>
            <rFont val="Tahoma"/>
            <family val="2"/>
          </rPr>
          <t xml:space="preserve">
Pre-tea time show</t>
        </r>
      </text>
    </comment>
    <comment ref="K8" authorId="1" shapeId="0" xr:uid="{00000000-0006-0000-0300-000010000000}">
      <text>
        <r>
          <rPr>
            <b/>
            <sz val="9"/>
            <color indexed="81"/>
            <rFont val="Tahoma"/>
            <family val="2"/>
          </rPr>
          <t>Freeth Thomas (2017):</t>
        </r>
        <r>
          <rPr>
            <sz val="9"/>
            <color indexed="81"/>
            <rFont val="Tahoma"/>
            <family val="2"/>
          </rPr>
          <t xml:space="preserve">
Soft drink provision for this show</t>
        </r>
      </text>
    </comment>
    <comment ref="R12" authorId="2" shapeId="0" xr:uid="{00000000-0006-0000-0300-000011000000}">
      <text>
        <r>
          <rPr>
            <b/>
            <sz val="9"/>
            <color indexed="81"/>
            <rFont val="Tahoma"/>
            <family val="2"/>
          </rPr>
          <t>Louise Yates:</t>
        </r>
        <r>
          <rPr>
            <sz val="9"/>
            <color indexed="81"/>
            <rFont val="Tahoma"/>
            <family val="2"/>
          </rPr>
          <t xml:space="preserve">
reduced capacity -sSpace for wheel chair users</t>
        </r>
      </text>
    </comment>
    <comment ref="D13" authorId="1" shapeId="0" xr:uid="{00000000-0006-0000-0300-00001200000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K13" authorId="1" shapeId="0" xr:uid="{00000000-0006-0000-0300-000013000000}">
      <text>
        <r>
          <rPr>
            <b/>
            <sz val="9"/>
            <color indexed="81"/>
            <rFont val="Tahoma"/>
            <family val="2"/>
          </rPr>
          <t>Freeth Thomas (2017):</t>
        </r>
        <r>
          <rPr>
            <sz val="9"/>
            <color indexed="81"/>
            <rFont val="Tahoma"/>
            <family val="2"/>
          </rPr>
          <t xml:space="preserve">
Have dropped expected attendance to reflect teen audience being potentially difficult to attract.</t>
        </r>
      </text>
    </comment>
    <comment ref="E15" authorId="1" shapeId="0" xr:uid="{00000000-0006-0000-0300-000014000000}">
      <text>
        <r>
          <rPr>
            <b/>
            <sz val="9"/>
            <color indexed="81"/>
            <rFont val="Tahoma"/>
            <family val="2"/>
          </rPr>
          <t>Freeth Thomas (2017):</t>
        </r>
        <r>
          <rPr>
            <sz val="9"/>
            <color indexed="81"/>
            <rFont val="Tahoma"/>
            <family val="2"/>
          </rPr>
          <t xml:space="preserve">
Based roughly on 3 children attending with 1 adult</t>
        </r>
      </text>
    </comment>
    <comment ref="G15" authorId="1" shapeId="0" xr:uid="{00000000-0006-0000-0300-000015000000}">
      <text>
        <r>
          <rPr>
            <b/>
            <sz val="9"/>
            <color indexed="81"/>
            <rFont val="Tahoma"/>
            <family val="2"/>
          </rPr>
          <t>Freeth Thomas (2017):</t>
        </r>
        <r>
          <rPr>
            <sz val="9"/>
            <color indexed="81"/>
            <rFont val="Tahoma"/>
            <family val="2"/>
          </rPr>
          <t xml:space="preserve">
14yrs+ only. 
Challenge 25 policy on the bar - ID must be shown. Rist bands given out with different colour for adults and childrens tickets.
Concern about shop fronts if capacity is larger</t>
        </r>
      </text>
    </comment>
    <comment ref="J15" authorId="1" shapeId="0" xr:uid="{00000000-0006-0000-0300-000016000000}">
      <text>
        <r>
          <rPr>
            <b/>
            <sz val="9"/>
            <color indexed="81"/>
            <rFont val="Tahoma"/>
            <family val="2"/>
          </rPr>
          <t>Freeth Thomas (2017):</t>
        </r>
        <r>
          <rPr>
            <sz val="9"/>
            <color indexed="81"/>
            <rFont val="Tahoma"/>
            <family val="2"/>
          </rPr>
          <t xml:space="preserve">
Based roughly on 3 children attending with 1 adult</t>
        </r>
      </text>
    </comment>
    <comment ref="P15" authorId="1" shapeId="0" xr:uid="{00000000-0006-0000-0300-000017000000}">
      <text>
        <r>
          <rPr>
            <b/>
            <sz val="9"/>
            <color indexed="81"/>
            <rFont val="Tahoma"/>
            <family val="2"/>
          </rPr>
          <t>Freeth Thomas (2017):</t>
        </r>
        <r>
          <rPr>
            <sz val="9"/>
            <color indexed="81"/>
            <rFont val="Tahoma"/>
            <family val="2"/>
          </rPr>
          <t xml:space="preserve">
14yrs+ only. 
Challenge 25 policy on the bar - ID must be shown. Rist bands given out with different colour for adults and childrens tickets.
Concern about shop fronts if capacity is larger</t>
        </r>
      </text>
    </comment>
    <comment ref="S15" authorId="1" shapeId="0" xr:uid="{00000000-0006-0000-0300-000018000000}">
      <text>
        <r>
          <rPr>
            <b/>
            <sz val="9"/>
            <color indexed="81"/>
            <rFont val="Tahoma"/>
            <family val="2"/>
          </rPr>
          <t>Freeth Thomas (2017):</t>
        </r>
        <r>
          <rPr>
            <sz val="9"/>
            <color indexed="81"/>
            <rFont val="Tahoma"/>
            <family val="2"/>
          </rPr>
          <t xml:space="preserve">
Based roughly on 3 children attending with 1 adult</t>
        </r>
      </text>
    </comment>
    <comment ref="E18" authorId="1" shapeId="0" xr:uid="{00000000-0006-0000-0300-000019000000}">
      <text>
        <r>
          <rPr>
            <b/>
            <sz val="9"/>
            <color indexed="81"/>
            <rFont val="Tahoma"/>
            <family val="2"/>
          </rPr>
          <t>Freeth Thomas (2017):</t>
        </r>
        <r>
          <rPr>
            <sz val="9"/>
            <color indexed="81"/>
            <rFont val="Tahoma"/>
            <family val="2"/>
          </rPr>
          <t xml:space="preserve">
Based roughly on 3 children attending with 1 adult</t>
        </r>
      </text>
    </comment>
    <comment ref="J18" authorId="1" shapeId="0" xr:uid="{00000000-0006-0000-0300-00001A000000}">
      <text>
        <r>
          <rPr>
            <b/>
            <sz val="9"/>
            <color indexed="81"/>
            <rFont val="Tahoma"/>
            <family val="2"/>
          </rPr>
          <t>Freeth Thomas (2017):</t>
        </r>
        <r>
          <rPr>
            <sz val="9"/>
            <color indexed="81"/>
            <rFont val="Tahoma"/>
            <family val="2"/>
          </rPr>
          <t xml:space="preserve">
Based roughly on 3 children attending with 1 adult</t>
        </r>
      </text>
    </comment>
    <comment ref="S18" authorId="1" shapeId="0" xr:uid="{00000000-0006-0000-0300-00001B000000}">
      <text>
        <r>
          <rPr>
            <b/>
            <sz val="9"/>
            <color indexed="81"/>
            <rFont val="Tahoma"/>
            <family val="2"/>
          </rPr>
          <t>Freeth Thomas (2017):</t>
        </r>
        <r>
          <rPr>
            <sz val="9"/>
            <color indexed="81"/>
            <rFont val="Tahoma"/>
            <family val="2"/>
          </rPr>
          <t xml:space="preserve">
Based roughly on 3 children attending with 1 adult</t>
        </r>
      </text>
    </comment>
    <comment ref="B31" authorId="1" shapeId="0" xr:uid="{00000000-0006-0000-0300-00001C000000}">
      <text>
        <r>
          <rPr>
            <b/>
            <sz val="9"/>
            <color indexed="81"/>
            <rFont val="Tahoma"/>
            <family val="2"/>
          </rPr>
          <t>Freeth Thomas (2017):</t>
        </r>
        <r>
          <rPr>
            <sz val="9"/>
            <color indexed="81"/>
            <rFont val="Tahoma"/>
            <family val="2"/>
          </rPr>
          <t xml:space="preserve">
Includes travel but not accomodation</t>
        </r>
      </text>
    </comment>
    <comment ref="C31" authorId="1" shapeId="0" xr:uid="{00000000-0006-0000-0300-00001D000000}">
      <text>
        <r>
          <rPr>
            <b/>
            <sz val="9"/>
            <color indexed="81"/>
            <rFont val="Tahoma"/>
            <family val="2"/>
          </rPr>
          <t>Freeth Thomas (2017):</t>
        </r>
        <r>
          <rPr>
            <sz val="9"/>
            <color indexed="81"/>
            <rFont val="Tahoma"/>
            <family val="2"/>
          </rPr>
          <t xml:space="preserve">
Includes accomodation and travel</t>
        </r>
      </text>
    </comment>
    <comment ref="N31" authorId="1" shapeId="0" xr:uid="{00000000-0006-0000-0300-00001E000000}">
      <text>
        <r>
          <rPr>
            <b/>
            <sz val="9"/>
            <color indexed="81"/>
            <rFont val="Tahoma"/>
            <family val="2"/>
          </rPr>
          <t>Freeth Thomas (2017):</t>
        </r>
        <r>
          <rPr>
            <sz val="9"/>
            <color indexed="81"/>
            <rFont val="Tahoma"/>
            <family val="2"/>
          </rPr>
          <t xml:space="preserve">
Includes accomodation and travel</t>
        </r>
      </text>
    </comment>
    <comment ref="X31" authorId="1" shapeId="0" xr:uid="{00000000-0006-0000-0300-00001F000000}">
      <text>
        <r>
          <rPr>
            <b/>
            <sz val="9"/>
            <color indexed="81"/>
            <rFont val="Tahoma"/>
            <family val="2"/>
          </rPr>
          <t>Freeth Thomas (2017):</t>
        </r>
        <r>
          <rPr>
            <sz val="9"/>
            <color indexed="81"/>
            <rFont val="Tahoma"/>
            <family val="2"/>
          </rPr>
          <t xml:space="preserve">
Includes accomodation and travel</t>
        </r>
      </text>
    </comment>
    <comment ref="P39" authorId="1" shapeId="0" xr:uid="{00000000-0006-0000-0300-000020000000}">
      <text>
        <r>
          <rPr>
            <b/>
            <sz val="9"/>
            <color indexed="81"/>
            <rFont val="Tahoma"/>
            <family val="2"/>
          </rPr>
          <t>Freeth Thomas (2017):</t>
        </r>
        <r>
          <rPr>
            <sz val="9"/>
            <color indexed="81"/>
            <rFont val="Tahoma"/>
            <family val="2"/>
          </rPr>
          <t xml:space="preserve">
North Point using own security</t>
        </r>
      </text>
    </comment>
    <comment ref="B43" authorId="3" shapeId="0" xr:uid="{00000000-0006-0000-0300-000021000000}">
      <text>
        <r>
          <rPr>
            <sz val="10"/>
            <color indexed="81"/>
            <rFont val="Tahoma"/>
            <family val="2"/>
          </rPr>
          <t>halved - 2 shows per shift surely?</t>
        </r>
        <r>
          <rPr>
            <sz val="9"/>
            <color indexed="81"/>
            <rFont val="Tahoma"/>
            <family val="2"/>
          </rPr>
          <t xml:space="preserve">
</t>
        </r>
      </text>
    </comment>
    <comment ref="C43" authorId="3" shapeId="0" xr:uid="{00000000-0006-0000-0300-000022000000}">
      <text>
        <r>
          <rPr>
            <sz val="10"/>
            <color indexed="81"/>
            <rFont val="Tahoma"/>
            <family val="2"/>
          </rPr>
          <t>halved - 2 shows per shift surely?</t>
        </r>
        <r>
          <rPr>
            <sz val="9"/>
            <color indexed="81"/>
            <rFont val="Tahoma"/>
            <family val="2"/>
          </rPr>
          <t xml:space="preserve">
</t>
        </r>
      </text>
    </comment>
    <comment ref="D43" authorId="3" shapeId="0" xr:uid="{00000000-0006-0000-0300-000023000000}">
      <text>
        <r>
          <rPr>
            <sz val="10"/>
            <color indexed="81"/>
            <rFont val="Tahoma"/>
            <family val="2"/>
          </rPr>
          <t>halved - 2 shows per shift surely?</t>
        </r>
        <r>
          <rPr>
            <sz val="9"/>
            <color indexed="81"/>
            <rFont val="Tahoma"/>
            <family val="2"/>
          </rPr>
          <t xml:space="preserve">
</t>
        </r>
      </text>
    </comment>
    <comment ref="E43" authorId="3" shapeId="0" xr:uid="{00000000-0006-0000-0300-000024000000}">
      <text>
        <r>
          <rPr>
            <sz val="10"/>
            <color indexed="81"/>
            <rFont val="Tahoma"/>
            <family val="2"/>
          </rPr>
          <t>halved - 2 shows per shift surely?</t>
        </r>
        <r>
          <rPr>
            <sz val="9"/>
            <color indexed="81"/>
            <rFont val="Tahoma"/>
            <family val="2"/>
          </rPr>
          <t xml:space="preserve">
</t>
        </r>
      </text>
    </comment>
    <comment ref="F43" authorId="3" shapeId="0" xr:uid="{00000000-0006-0000-0300-000025000000}">
      <text>
        <r>
          <rPr>
            <sz val="10"/>
            <color indexed="81"/>
            <rFont val="Tahoma"/>
            <family val="2"/>
          </rPr>
          <t>halved - 2 shows per shift surely?</t>
        </r>
        <r>
          <rPr>
            <sz val="9"/>
            <color indexed="81"/>
            <rFont val="Tahoma"/>
            <family val="2"/>
          </rPr>
          <t xml:space="preserve">
</t>
        </r>
      </text>
    </comment>
    <comment ref="G43" authorId="3" shapeId="0" xr:uid="{00000000-0006-0000-0300-000026000000}">
      <text>
        <r>
          <rPr>
            <sz val="10"/>
            <color indexed="81"/>
            <rFont val="Tahoma"/>
            <family val="2"/>
          </rPr>
          <t>halved - 2 shows per shift surely?</t>
        </r>
        <r>
          <rPr>
            <sz val="9"/>
            <color indexed="81"/>
            <rFont val="Tahoma"/>
            <family val="2"/>
          </rPr>
          <t xml:space="preserve">
</t>
        </r>
      </text>
    </comment>
    <comment ref="H43" authorId="3" shapeId="0" xr:uid="{00000000-0006-0000-0300-000027000000}">
      <text>
        <r>
          <rPr>
            <sz val="10"/>
            <color indexed="81"/>
            <rFont val="Tahoma"/>
            <family val="2"/>
          </rPr>
          <t>halved - 2 shows per shift surely?</t>
        </r>
        <r>
          <rPr>
            <sz val="9"/>
            <color indexed="81"/>
            <rFont val="Tahoma"/>
            <family val="2"/>
          </rPr>
          <t xml:space="preserve">
</t>
        </r>
      </text>
    </comment>
    <comment ref="J43" authorId="3" shapeId="0" xr:uid="{00000000-0006-0000-0300-000028000000}">
      <text>
        <r>
          <rPr>
            <sz val="10"/>
            <color indexed="81"/>
            <rFont val="Tahoma"/>
            <family val="2"/>
          </rPr>
          <t>halved - 2 shows per shift surely?</t>
        </r>
        <r>
          <rPr>
            <sz val="9"/>
            <color indexed="81"/>
            <rFont val="Tahoma"/>
            <family val="2"/>
          </rPr>
          <t xml:space="preserve">
</t>
        </r>
      </text>
    </comment>
    <comment ref="K43" authorId="3" shapeId="0" xr:uid="{00000000-0006-0000-0300-000029000000}">
      <text>
        <r>
          <rPr>
            <sz val="10"/>
            <color indexed="81"/>
            <rFont val="Tahoma"/>
            <family val="2"/>
          </rPr>
          <t>halved - 2 shows per shift surely?</t>
        </r>
        <r>
          <rPr>
            <sz val="9"/>
            <color indexed="81"/>
            <rFont val="Tahoma"/>
            <family val="2"/>
          </rPr>
          <t xml:space="preserve">
</t>
        </r>
      </text>
    </comment>
    <comment ref="L43" authorId="3" shapeId="0" xr:uid="{00000000-0006-0000-0300-00002A000000}">
      <text>
        <r>
          <rPr>
            <sz val="10"/>
            <color indexed="81"/>
            <rFont val="Tahoma"/>
            <family val="2"/>
          </rPr>
          <t>halved - 2 shows per shift surely?</t>
        </r>
        <r>
          <rPr>
            <sz val="9"/>
            <color indexed="81"/>
            <rFont val="Tahoma"/>
            <family val="2"/>
          </rPr>
          <t xml:space="preserve">
</t>
        </r>
      </text>
    </comment>
    <comment ref="M43" authorId="3" shapeId="0" xr:uid="{00000000-0006-0000-0300-00002B000000}">
      <text>
        <r>
          <rPr>
            <sz val="10"/>
            <color indexed="81"/>
            <rFont val="Tahoma"/>
            <family val="2"/>
          </rPr>
          <t>halved - 2 shows per shift surely?</t>
        </r>
        <r>
          <rPr>
            <sz val="9"/>
            <color indexed="81"/>
            <rFont val="Tahoma"/>
            <family val="2"/>
          </rPr>
          <t xml:space="preserve">
</t>
        </r>
      </text>
    </comment>
    <comment ref="N43" authorId="3" shapeId="0" xr:uid="{00000000-0006-0000-0300-00002C000000}">
      <text>
        <r>
          <rPr>
            <sz val="10"/>
            <color indexed="81"/>
            <rFont val="Tahoma"/>
            <family val="2"/>
          </rPr>
          <t>halved - 2 shows per shift surely?</t>
        </r>
        <r>
          <rPr>
            <sz val="9"/>
            <color indexed="81"/>
            <rFont val="Tahoma"/>
            <family val="2"/>
          </rPr>
          <t xml:space="preserve">
</t>
        </r>
      </text>
    </comment>
    <comment ref="O43" authorId="3" shapeId="0" xr:uid="{00000000-0006-0000-0300-00002D000000}">
      <text>
        <r>
          <rPr>
            <sz val="10"/>
            <color indexed="81"/>
            <rFont val="Tahoma"/>
            <family val="2"/>
          </rPr>
          <t>halved - 2 shows per shift surely?</t>
        </r>
        <r>
          <rPr>
            <sz val="9"/>
            <color indexed="81"/>
            <rFont val="Tahoma"/>
            <family val="2"/>
          </rPr>
          <t xml:space="preserve">
</t>
        </r>
      </text>
    </comment>
    <comment ref="P43" authorId="3" shapeId="0" xr:uid="{00000000-0006-0000-0300-00002E000000}">
      <text>
        <r>
          <rPr>
            <sz val="10"/>
            <color indexed="81"/>
            <rFont val="Tahoma"/>
            <family val="2"/>
          </rPr>
          <t>halved - 2 shows per shift surely?</t>
        </r>
        <r>
          <rPr>
            <sz val="9"/>
            <color indexed="81"/>
            <rFont val="Tahoma"/>
            <family val="2"/>
          </rPr>
          <t xml:space="preserve">
</t>
        </r>
      </text>
    </comment>
    <comment ref="R43" authorId="3" shapeId="0" xr:uid="{00000000-0006-0000-0300-00002F000000}">
      <text>
        <r>
          <rPr>
            <sz val="10"/>
            <color indexed="81"/>
            <rFont val="Tahoma"/>
            <family val="2"/>
          </rPr>
          <t>halved - 2 shows per shift surely?</t>
        </r>
        <r>
          <rPr>
            <sz val="9"/>
            <color indexed="81"/>
            <rFont val="Tahoma"/>
            <family val="2"/>
          </rPr>
          <t xml:space="preserve">
</t>
        </r>
      </text>
    </comment>
    <comment ref="S43" authorId="3" shapeId="0" xr:uid="{00000000-0006-0000-0300-000030000000}">
      <text>
        <r>
          <rPr>
            <sz val="10"/>
            <color indexed="81"/>
            <rFont val="Tahoma"/>
            <family val="2"/>
          </rPr>
          <t>halved - 2 shows per shift surely?</t>
        </r>
        <r>
          <rPr>
            <sz val="9"/>
            <color indexed="81"/>
            <rFont val="Tahoma"/>
            <family val="2"/>
          </rPr>
          <t xml:space="preserve">
</t>
        </r>
      </text>
    </comment>
    <comment ref="T43" authorId="3" shapeId="0" xr:uid="{00000000-0006-0000-0300-000031000000}">
      <text>
        <r>
          <rPr>
            <sz val="10"/>
            <color indexed="81"/>
            <rFont val="Tahoma"/>
            <family val="2"/>
          </rPr>
          <t>halved - 2 shows per shift surely?</t>
        </r>
        <r>
          <rPr>
            <sz val="9"/>
            <color indexed="81"/>
            <rFont val="Tahoma"/>
            <family val="2"/>
          </rPr>
          <t xml:space="preserve">
</t>
        </r>
      </text>
    </comment>
    <comment ref="U43" authorId="3" shapeId="0" xr:uid="{00000000-0006-0000-0300-000032000000}">
      <text>
        <r>
          <rPr>
            <sz val="10"/>
            <color indexed="81"/>
            <rFont val="Tahoma"/>
            <family val="2"/>
          </rPr>
          <t>halved - 2 shows per shift surely?</t>
        </r>
        <r>
          <rPr>
            <sz val="9"/>
            <color indexed="81"/>
            <rFont val="Tahoma"/>
            <family val="2"/>
          </rPr>
          <t xml:space="preserve">
</t>
        </r>
      </text>
    </comment>
    <comment ref="V43" authorId="3" shapeId="0" xr:uid="{00000000-0006-0000-0300-000033000000}">
      <text>
        <r>
          <rPr>
            <sz val="10"/>
            <color indexed="81"/>
            <rFont val="Tahoma"/>
            <family val="2"/>
          </rPr>
          <t>halved - 2 shows per shift surely?</t>
        </r>
        <r>
          <rPr>
            <sz val="9"/>
            <color indexed="81"/>
            <rFont val="Tahoma"/>
            <family val="2"/>
          </rPr>
          <t xml:space="preserve">
</t>
        </r>
      </text>
    </comment>
    <comment ref="W43" authorId="3" shapeId="0" xr:uid="{00000000-0006-0000-0300-000034000000}">
      <text>
        <r>
          <rPr>
            <sz val="10"/>
            <color indexed="81"/>
            <rFont val="Tahoma"/>
            <family val="2"/>
          </rPr>
          <t>halved - 2 shows per shift surely?</t>
        </r>
        <r>
          <rPr>
            <sz val="9"/>
            <color indexed="81"/>
            <rFont val="Tahoma"/>
            <family val="2"/>
          </rPr>
          <t xml:space="preserve">
</t>
        </r>
      </text>
    </comment>
    <comment ref="X43" authorId="3" shapeId="0" xr:uid="{00000000-0006-0000-0300-000035000000}">
      <text>
        <r>
          <rPr>
            <sz val="10"/>
            <color indexed="81"/>
            <rFont val="Tahoma"/>
            <family val="2"/>
          </rPr>
          <t>halved - 2 shows per shift surely?</t>
        </r>
        <r>
          <rPr>
            <sz val="9"/>
            <color indexed="81"/>
            <rFont val="Tahoma"/>
            <family val="2"/>
          </rPr>
          <t xml:space="preserve">
</t>
        </r>
      </text>
    </comment>
    <comment ref="A71" authorId="1" shapeId="0" xr:uid="{00000000-0006-0000-0300-000036000000}">
      <text>
        <r>
          <rPr>
            <b/>
            <sz val="9"/>
            <color indexed="81"/>
            <rFont val="Tahoma"/>
            <family val="2"/>
          </rPr>
          <t>Freeth Thomas (2017):</t>
        </r>
        <r>
          <rPr>
            <sz val="9"/>
            <color indexed="81"/>
            <rFont val="Tahoma"/>
            <family val="2"/>
          </rPr>
          <t xml:space="preserve">
FOH staff also need to double as Box Office staff</t>
        </r>
      </text>
    </comment>
    <comment ref="A77" authorId="1" shapeId="0" xr:uid="{00000000-0006-0000-0300-000037000000}">
      <text>
        <r>
          <rPr>
            <b/>
            <sz val="9"/>
            <color indexed="81"/>
            <rFont val="Tahoma"/>
            <family val="2"/>
          </rPr>
          <t>Freeth Thomas (2017):</t>
        </r>
        <r>
          <rPr>
            <sz val="9"/>
            <color indexed="81"/>
            <rFont val="Tahoma"/>
            <family val="2"/>
          </rPr>
          <t xml:space="preserve">
FOH Manager is also the volunteer lead</t>
        </r>
      </text>
    </comment>
    <comment ref="A104" authorId="1" shapeId="0" xr:uid="{00000000-0006-0000-0300-000038000000}">
      <text>
        <r>
          <rPr>
            <b/>
            <sz val="9"/>
            <color indexed="81"/>
            <rFont val="Tahoma"/>
            <family val="2"/>
          </rPr>
          <t>Freeth Thomas (2017):</t>
        </r>
        <r>
          <rPr>
            <sz val="9"/>
            <color indexed="81"/>
            <rFont val="Tahoma"/>
            <family val="2"/>
          </rPr>
          <t xml:space="preserve">
These cells are hidden because the forecast costs no longer apply and these cells no longer link through to the forecast budget.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Robinson Andrea (2017)</author>
  </authors>
  <commentList>
    <comment ref="C7" authorId="0" shapeId="0" xr:uid="{00000000-0006-0000-0500-000001000000}">
      <text>
        <r>
          <rPr>
            <b/>
            <sz val="9"/>
            <color indexed="81"/>
            <rFont val="Tahoma"/>
            <family val="2"/>
          </rPr>
          <t>Robinson Andrea (2017):</t>
        </r>
        <r>
          <rPr>
            <sz val="9"/>
            <color indexed="81"/>
            <rFont val="Tahoma"/>
            <family val="2"/>
          </rPr>
          <t xml:space="preserve">
To include First Aid
</t>
        </r>
      </text>
    </comment>
    <comment ref="T7" authorId="0" shapeId="0" xr:uid="{00000000-0006-0000-0500-000002000000}">
      <text>
        <r>
          <rPr>
            <b/>
            <sz val="9"/>
            <color indexed="81"/>
            <rFont val="Tahoma"/>
            <charset val="1"/>
          </rPr>
          <t>Robinson Andrea (2017):</t>
        </r>
        <r>
          <rPr>
            <sz val="9"/>
            <color indexed="81"/>
            <rFont val="Tahoma"/>
            <charset val="1"/>
          </rPr>
          <t xml:space="preserve">
Carys adv'd PO raised North East Medical Svs £1404 16.2.17</t>
        </r>
      </text>
    </comment>
    <comment ref="C13" authorId="0" shapeId="0" xr:uid="{00000000-0006-0000-0500-000003000000}">
      <text>
        <r>
          <rPr>
            <b/>
            <sz val="9"/>
            <color indexed="81"/>
            <rFont val="Tahoma"/>
            <family val="2"/>
          </rPr>
          <t>Robinson Andrea (2017):</t>
        </r>
        <r>
          <rPr>
            <sz val="9"/>
            <color indexed="81"/>
            <rFont val="Tahoma"/>
            <family val="2"/>
          </rPr>
          <t xml:space="preserve">
Manager Cost of East for all Festival days £2100. 
Manager Cost of West &amp; North for all Festival days £1800.</t>
        </r>
      </text>
    </comment>
    <comment ref="C14" authorId="0" shapeId="0" xr:uid="{00000000-0006-0000-0500-000004000000}">
      <text>
        <r>
          <rPr>
            <b/>
            <sz val="9"/>
            <color indexed="81"/>
            <rFont val="Tahoma"/>
            <family val="2"/>
          </rPr>
          <t>Robinson Andrea (2017):</t>
        </r>
        <r>
          <rPr>
            <sz val="9"/>
            <color indexed="81"/>
            <rFont val="Tahoma"/>
            <family val="2"/>
          </rPr>
          <t xml:space="preserve">
Total Technical Crew Cost of East, North &amp; West for all Festival Days</t>
        </r>
      </text>
    </comment>
    <comment ref="C16" authorId="0" shapeId="0" xr:uid="{00000000-0006-0000-0500-000005000000}">
      <text>
        <r>
          <rPr>
            <b/>
            <sz val="9"/>
            <color indexed="81"/>
            <rFont val="Tahoma"/>
            <family val="2"/>
          </rPr>
          <t>Robinson Andrea (2017):</t>
        </r>
        <r>
          <rPr>
            <sz val="9"/>
            <color indexed="81"/>
            <rFont val="Tahoma"/>
            <family val="2"/>
          </rPr>
          <t xml:space="preserve">
Includes Front of House staffing.</t>
        </r>
      </text>
    </comment>
    <comment ref="C18" authorId="0" shapeId="0" xr:uid="{00000000-0006-0000-0500-000006000000}">
      <text>
        <r>
          <rPr>
            <b/>
            <sz val="9"/>
            <color indexed="81"/>
            <rFont val="Tahoma"/>
            <family val="2"/>
          </rPr>
          <t>Robinson Andrea (2017):</t>
        </r>
        <r>
          <rPr>
            <sz val="9"/>
            <color indexed="81"/>
            <rFont val="Tahoma"/>
            <family val="2"/>
          </rPr>
          <t xml:space="preserve">
Total Marketing Engagement Fee for area 30 days x £90</t>
        </r>
      </text>
    </comment>
    <comment ref="C19" authorId="0" shapeId="0" xr:uid="{00000000-0006-0000-0500-000007000000}">
      <text>
        <r>
          <rPr>
            <b/>
            <sz val="9"/>
            <color indexed="81"/>
            <rFont val="Tahoma"/>
            <family val="2"/>
          </rPr>
          <t>Robinson Andrea (2017):</t>
        </r>
        <r>
          <rPr>
            <sz val="9"/>
            <color indexed="81"/>
            <rFont val="Tahoma"/>
            <family val="2"/>
          </rPr>
          <t xml:space="preserve">
Total Marketing Engagement Fee for area 30 days x £90</t>
        </r>
      </text>
    </comment>
    <comment ref="C20" authorId="0" shapeId="0" xr:uid="{00000000-0006-0000-0500-000008000000}">
      <text>
        <r>
          <rPr>
            <b/>
            <sz val="9"/>
            <color indexed="81"/>
            <rFont val="Tahoma"/>
            <family val="2"/>
          </rPr>
          <t>Robinson Andrea (2017):</t>
        </r>
        <r>
          <rPr>
            <sz val="9"/>
            <color indexed="81"/>
            <rFont val="Tahoma"/>
            <family val="2"/>
          </rPr>
          <t xml:space="preserve">
£1400 budgeted Feb 17 but re-allocated to Security 17/11/16 as per Henri</t>
        </r>
      </text>
    </comment>
    <comment ref="C21" authorId="0" shapeId="0" xr:uid="{00000000-0006-0000-0500-000009000000}">
      <text>
        <r>
          <rPr>
            <b/>
            <sz val="9"/>
            <color indexed="81"/>
            <rFont val="Tahoma"/>
            <family val="2"/>
          </rPr>
          <t>Robinson Andrea (2017):</t>
        </r>
        <r>
          <rPr>
            <sz val="9"/>
            <color indexed="81"/>
            <rFont val="Tahoma"/>
            <family val="2"/>
          </rPr>
          <t xml:space="preserve">
Made up of light, sound, AV &amp; set. 
Requires estimates from Carys.
Updated forecast cost of Rev &amp; the Makers &amp; Johnny Vegas Venue Tech Hire to £200 per venue.
Candoco cost covers hire for all areas in one column.</t>
        </r>
      </text>
    </comment>
    <comment ref="T22" authorId="0" shapeId="0" xr:uid="{00000000-0006-0000-0500-00000A000000}">
      <text>
        <r>
          <rPr>
            <b/>
            <sz val="9"/>
            <color indexed="81"/>
            <rFont val="Tahoma"/>
            <charset val="1"/>
          </rPr>
          <t>Robinson Andrea (2017):</t>
        </r>
        <r>
          <rPr>
            <sz val="9"/>
            <color indexed="81"/>
            <rFont val="Tahoma"/>
            <charset val="1"/>
          </rPr>
          <t xml:space="preserve">
Carys adv'd PO raised &amp; apprvd £378 All Occasions 16.2.17</t>
        </r>
      </text>
    </comment>
    <comment ref="C23" authorId="0" shapeId="0" xr:uid="{00000000-0006-0000-0500-00000B000000}">
      <text>
        <r>
          <rPr>
            <b/>
            <sz val="9"/>
            <color indexed="81"/>
            <rFont val="Tahoma"/>
            <family val="2"/>
          </rPr>
          <t>Robinson Andrea (2017):</t>
        </r>
        <r>
          <rPr>
            <sz val="9"/>
            <color indexed="81"/>
            <rFont val="Tahoma"/>
            <family val="2"/>
          </rPr>
          <t xml:space="preserve">
Includes Van Hire</t>
        </r>
      </text>
    </comment>
    <comment ref="C24" authorId="0" shapeId="0" xr:uid="{00000000-0006-0000-0500-00000C000000}">
      <text>
        <r>
          <rPr>
            <b/>
            <sz val="9"/>
            <color indexed="81"/>
            <rFont val="Tahoma"/>
            <family val="2"/>
          </rPr>
          <t xml:space="preserve">Robinson Andrea (2017):
</t>
        </r>
        <r>
          <rPr>
            <sz val="9"/>
            <color indexed="81"/>
            <rFont val="Tahoma"/>
            <family val="2"/>
          </rPr>
          <t>Security in Venues where there is a bar.
Northpoint shopping centre will provide own security inc. Pigeon Detectives Gig.
Added £1k (from additional £35k) for barriers as per Louise/Thom 5/1/17.
17/1/17 TF updated these figures according to quote from Prestige based upon £50 per person per event.
18/1/17 TF general area security costs include cost of barrier (mojo) hire.</t>
        </r>
      </text>
    </comment>
    <comment ref="T24" authorId="0" shapeId="0" xr:uid="{00000000-0006-0000-0500-00000D000000}">
      <text>
        <r>
          <rPr>
            <b/>
            <sz val="9"/>
            <color indexed="81"/>
            <rFont val="Tahoma"/>
            <charset val="1"/>
          </rPr>
          <t>Robinson Andrea (2017):</t>
        </r>
        <r>
          <rPr>
            <sz val="9"/>
            <color indexed="81"/>
            <rFont val="Tahoma"/>
            <charset val="1"/>
          </rPr>
          <t xml:space="preserve">
Carys adv'd PO raised &amp; apprvd £2050 Prestige Security - Only £1400 in budget as £35k additonal spend has been realllocated to BFI C601. </t>
        </r>
      </text>
    </comment>
    <comment ref="T25" authorId="0" shapeId="0" xr:uid="{00000000-0006-0000-0500-00000E000000}">
      <text>
        <r>
          <rPr>
            <b/>
            <sz val="9"/>
            <color indexed="81"/>
            <rFont val="Tahoma"/>
            <charset val="1"/>
          </rPr>
          <t>Robinson Andrea (2017):</t>
        </r>
        <r>
          <rPr>
            <sz val="9"/>
            <color indexed="81"/>
            <rFont val="Tahoma"/>
            <charset val="1"/>
          </rPr>
          <t xml:space="preserve">
Carys adv'd Pmnt by C/Card £61.93 to PPL 16.2.17</t>
        </r>
      </text>
    </comment>
    <comment ref="C28" authorId="0" shapeId="0" xr:uid="{00000000-0006-0000-0500-00000F000000}">
      <text>
        <r>
          <rPr>
            <b/>
            <sz val="9"/>
            <color indexed="81"/>
            <rFont val="Tahoma"/>
            <family val="2"/>
          </rPr>
          <t>Robinson Andrea (2017):</t>
        </r>
        <r>
          <rPr>
            <sz val="9"/>
            <color indexed="81"/>
            <rFont val="Tahoma"/>
            <family val="2"/>
          </rPr>
          <t xml:space="preserve">
Cost of print, marketing for festivals &amp; venue dressing</t>
        </r>
      </text>
    </comment>
    <comment ref="C29" authorId="0" shapeId="0" xr:uid="{00000000-0006-0000-0500-000010000000}">
      <text>
        <r>
          <rPr>
            <b/>
            <sz val="9"/>
            <color indexed="81"/>
            <rFont val="Tahoma"/>
            <family val="2"/>
          </rPr>
          <t>Robinson Andrea (2017):</t>
        </r>
        <r>
          <rPr>
            <sz val="9"/>
            <color indexed="81"/>
            <rFont val="Tahoma"/>
            <family val="2"/>
          </rPr>
          <t xml:space="preserve">
Cost of setting up remote box offices in each area.</t>
        </r>
      </text>
    </comment>
    <comment ref="C30" authorId="0" shapeId="0" xr:uid="{00000000-0006-0000-0500-000011000000}">
      <text>
        <r>
          <rPr>
            <b/>
            <sz val="9"/>
            <color indexed="81"/>
            <rFont val="Tahoma"/>
            <family val="2"/>
          </rPr>
          <t>Robinson Andrea (2017):</t>
        </r>
        <r>
          <rPr>
            <sz val="9"/>
            <color indexed="81"/>
            <rFont val="Tahoma"/>
            <family val="2"/>
          </rPr>
          <t xml:space="preserve">
Covers documentation &amp; marketing photography during the festival</t>
        </r>
      </text>
    </comment>
    <comment ref="C31" authorId="0" shapeId="0" xr:uid="{00000000-0006-0000-0500-000012000000}">
      <text>
        <r>
          <rPr>
            <b/>
            <sz val="9"/>
            <color indexed="81"/>
            <rFont val="Tahoma"/>
            <family val="2"/>
          </rPr>
          <t>Robinson Andrea (2017):</t>
        </r>
        <r>
          <rPr>
            <sz val="9"/>
            <color indexed="81"/>
            <rFont val="Tahoma"/>
            <family val="2"/>
          </rPr>
          <t xml:space="preserve">
Requires conversation with Evaluation Team. Would this cover an independent evaluation?
Louise Yates adv'd by email 16.2.17 - £3150 will be coming out in either Mar or Apr 17. </t>
        </r>
      </text>
    </comment>
    <comment ref="C32" authorId="0" shapeId="0" xr:uid="{00000000-0006-0000-0500-000013000000}">
      <text>
        <r>
          <rPr>
            <b/>
            <sz val="9"/>
            <color indexed="81"/>
            <rFont val="Tahoma"/>
            <family val="2"/>
          </rPr>
          <t>Robinson Andrea (2017):</t>
        </r>
        <r>
          <rPr>
            <sz val="9"/>
            <color indexed="81"/>
            <rFont val="Tahoma"/>
            <family val="2"/>
          </rPr>
          <t xml:space="preserve">
Covers BSL &amp; relaxed performances</t>
        </r>
      </text>
    </comment>
    <comment ref="T37" authorId="0" shapeId="0" xr:uid="{00000000-0006-0000-0500-000014000000}">
      <text>
        <r>
          <rPr>
            <b/>
            <sz val="9"/>
            <color indexed="81"/>
            <rFont val="Tahoma"/>
            <charset val="1"/>
          </rPr>
          <t>Robinson Andrea (2017):</t>
        </r>
        <r>
          <rPr>
            <sz val="9"/>
            <color indexed="81"/>
            <rFont val="Tahoma"/>
            <charset val="1"/>
          </rPr>
          <t xml:space="preserve">
Carys adv'd Stampreo £60 petty cash &amp; £226.80 Sirius Academy PO raised &amp; apprvd 16.2.17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Robinson Andrea (2017)</author>
  </authors>
  <commentList>
    <comment ref="B6" authorId="0" shapeId="0" xr:uid="{00000000-0006-0000-0600-000001000000}">
      <text>
        <r>
          <rPr>
            <b/>
            <sz val="9"/>
            <color indexed="81"/>
            <rFont val="Tahoma"/>
            <family val="2"/>
          </rPr>
          <t>Robinson Andrea (2017):</t>
        </r>
        <r>
          <rPr>
            <sz val="9"/>
            <color indexed="81"/>
            <rFont val="Tahoma"/>
            <family val="2"/>
          </rPr>
          <t xml:space="preserve">
Estimate based on 35% of net box office of 700 tickets sold across 9 screenings.</t>
        </r>
      </text>
    </comment>
    <comment ref="B7" authorId="0" shapeId="0" xr:uid="{00000000-0006-0000-0600-000002000000}">
      <text>
        <r>
          <rPr>
            <b/>
            <sz val="9"/>
            <color indexed="81"/>
            <rFont val="Tahoma"/>
            <family val="2"/>
          </rPr>
          <t>Robinson Andrea (2017):</t>
        </r>
        <r>
          <rPr>
            <sz val="9"/>
            <color indexed="81"/>
            <rFont val="Tahoma"/>
            <family val="2"/>
          </rPr>
          <t xml:space="preserve">
Sneaky Experience - 3 days including actor, costume hire, scripts &amp; activities prep.</t>
        </r>
      </text>
    </comment>
    <comment ref="B9" authorId="0" shapeId="0" xr:uid="{00000000-0006-0000-0600-000003000000}">
      <text>
        <r>
          <rPr>
            <b/>
            <sz val="9"/>
            <color indexed="81"/>
            <rFont val="Tahoma"/>
            <family val="2"/>
          </rPr>
          <t>Robinson Andrea (2017):</t>
        </r>
        <r>
          <rPr>
            <sz val="9"/>
            <color indexed="81"/>
            <rFont val="Tahoma"/>
            <family val="2"/>
          </rPr>
          <t xml:space="preserve">
Lumen
</t>
        </r>
      </text>
    </comment>
  </commentList>
</comments>
</file>

<file path=xl/sharedStrings.xml><?xml version="1.0" encoding="utf-8"?>
<sst xmlns="http://schemas.openxmlformats.org/spreadsheetml/2006/main" count="1222" uniqueCount="511">
  <si>
    <t>Back to Ours C700 &amp; C601</t>
  </si>
  <si>
    <t>BUDGET</t>
  </si>
  <si>
    <t>BFI - ADDITIONAL £35,975k to BUDGET</t>
  </si>
  <si>
    <t>TOTAL BUDGET</t>
  </si>
  <si>
    <t>FORECAST</t>
  </si>
  <si>
    <t>VARIANCE</t>
  </si>
  <si>
    <t>ENCUMB</t>
  </si>
  <si>
    <t>ACTUAL</t>
  </si>
  <si>
    <t>Summary Expenditure</t>
  </si>
  <si>
    <t>Summary Income</t>
  </si>
  <si>
    <t>Development</t>
  </si>
  <si>
    <t>Funding  - Hull CCG</t>
  </si>
  <si>
    <t>Festival Programme</t>
  </si>
  <si>
    <t>Funding  - Other Funds</t>
  </si>
  <si>
    <t>Festival Engagement &amp; Delivery</t>
  </si>
  <si>
    <t xml:space="preserve">Funding - Trust &amp; Foundation </t>
  </si>
  <si>
    <t>NNT Core Team</t>
  </si>
  <si>
    <t xml:space="preserve">Funding - ACE Strategic Touring </t>
  </si>
  <si>
    <t>Contingency @ 3% Programming</t>
  </si>
  <si>
    <t>Box Office Earned Income</t>
  </si>
  <si>
    <t xml:space="preserve">Total Expenditure </t>
  </si>
  <si>
    <t>Total Income</t>
  </si>
  <si>
    <t>Balance</t>
  </si>
  <si>
    <t xml:space="preserve">ACE STF Request as % of total project </t>
  </si>
  <si>
    <t>Hull 2017 Net Contribution (Budget)</t>
  </si>
  <si>
    <t>Core Marketing, Brand Dev; Venue Dressing Kits; Templates; Signage</t>
  </si>
  <si>
    <t>MDC</t>
  </si>
  <si>
    <t>Core Marketing Campaigns, Graphic Design</t>
  </si>
  <si>
    <t>Sub-Total</t>
  </si>
  <si>
    <t>MODEL: FOUR FESTIVALS IN THREE AREAS</t>
  </si>
  <si>
    <t>PROJECTED BOX OFFICE INCOME</t>
  </si>
  <si>
    <t>Performances/ Events</t>
  </si>
  <si>
    <t>Av Net Tkt Price</t>
  </si>
  <si>
    <t>Net Box Office Income</t>
  </si>
  <si>
    <t xml:space="preserve">Festival Programming Fees - all inc </t>
  </si>
  <si>
    <t>Festival</t>
  </si>
  <si>
    <t>Attendance</t>
  </si>
  <si>
    <t xml:space="preserve">February '17 Festival </t>
  </si>
  <si>
    <t>Perf</t>
  </si>
  <si>
    <t>May Festival</t>
  </si>
  <si>
    <t>October Festival</t>
  </si>
  <si>
    <t>February '18 Festival</t>
  </si>
  <si>
    <t>Contingency £4823 is on Live Budget under Performances</t>
  </si>
  <si>
    <t>Totals</t>
  </si>
  <si>
    <t>Sub-Total Programme Fees</t>
  </si>
  <si>
    <t>PER FESTIVAL ENGAGEMENT &amp; DELIVERY</t>
  </si>
  <si>
    <t>Core NNT Team</t>
  </si>
  <si>
    <t>Programme Director - Expenses - 18 month</t>
  </si>
  <si>
    <t>C&amp;P</t>
  </si>
  <si>
    <t>Programme Consultant / Promoter Liaison - monthly programming meetings - 1 year</t>
  </si>
  <si>
    <t>Technical Co-ordinator &amp; Venue Liaison - 18 months - av 0.5</t>
  </si>
  <si>
    <t>A&amp;M</t>
  </si>
  <si>
    <t>Project Administrator - 18 months - 0.5 average</t>
  </si>
  <si>
    <t>Reduce as per agreement with HD</t>
  </si>
  <si>
    <t>Venue Programming Teams support 18 months</t>
  </si>
  <si>
    <t xml:space="preserve">Venue Partner Network Go &amp; See Costs </t>
  </si>
  <si>
    <t>R&amp;D</t>
  </si>
  <si>
    <t>Insurance, Licences, Finance Administration</t>
  </si>
  <si>
    <t>L&amp;D</t>
  </si>
  <si>
    <t>Sub-total</t>
  </si>
  <si>
    <t>Interactive activities by Into Film (value of partnership funding TBC)</t>
  </si>
  <si>
    <t>C&amp;F</t>
  </si>
  <si>
    <t>Jaws Outdoor Event</t>
  </si>
  <si>
    <t>NORTH</t>
  </si>
  <si>
    <t>Cost per unit</t>
  </si>
  <si>
    <t>Venues / People</t>
  </si>
  <si>
    <t>Days</t>
  </si>
  <si>
    <t>Daily rate</t>
  </si>
  <si>
    <t xml:space="preserve">Venue Hire </t>
  </si>
  <si>
    <t>V</t>
  </si>
  <si>
    <t xml:space="preserve">Venue Technical Hires  </t>
  </si>
  <si>
    <t>D</t>
  </si>
  <si>
    <t>Can enter in</t>
  </si>
  <si>
    <t>Dressing Room / Green Room Set Up / Artist Liaison</t>
  </si>
  <si>
    <t>Linked to venue / days</t>
  </si>
  <si>
    <t>Transport</t>
  </si>
  <si>
    <t>Duty of Care</t>
  </si>
  <si>
    <t>Security</t>
  </si>
  <si>
    <t xml:space="preserve">Sub-Total Technical </t>
  </si>
  <si>
    <t xml:space="preserve">Festival Production </t>
  </si>
  <si>
    <t>Local Technical Manager - (1.2 days per Festival day)</t>
  </si>
  <si>
    <t>Crew (x2)</t>
  </si>
  <si>
    <t>Local Technical Apprentice (1.2 days per Festival day)</t>
  </si>
  <si>
    <t xml:space="preserve">FOH Manager - </t>
  </si>
  <si>
    <t>FOH &amp; Box Office Team (x2)</t>
  </si>
  <si>
    <t>Sub-Total Festival Staff</t>
  </si>
  <si>
    <t>Festival Engagement,  MarComms &amp; Evaluation</t>
  </si>
  <si>
    <t xml:space="preserve">Local Marketing &amp; Engagement Manager </t>
  </si>
  <si>
    <t>Local Marketing &amp; Engagement Apprentice</t>
  </si>
  <si>
    <t>Marketing Campaign (per venue)</t>
  </si>
  <si>
    <t>Access performances</t>
  </si>
  <si>
    <t>F</t>
  </si>
  <si>
    <t>Remote Box Office Set-Up</t>
  </si>
  <si>
    <t>Photography / Filming / Documenting (per day)</t>
  </si>
  <si>
    <t>Evaluation (per day)</t>
  </si>
  <si>
    <t>Sub-Total Festival Engagement , MarComms, Evaluation</t>
  </si>
  <si>
    <t>Total for North Festivals</t>
  </si>
  <si>
    <t>Number of venues</t>
  </si>
  <si>
    <t>Number of days</t>
  </si>
  <si>
    <t>EAST</t>
  </si>
  <si>
    <t>Cost per day</t>
  </si>
  <si>
    <t>Venue Hire (per venue)</t>
  </si>
  <si>
    <t>Venue Technical Hires  - 10 days @ £700</t>
  </si>
  <si>
    <t>Duty of Care - 20 people, 10 days @£8</t>
  </si>
  <si>
    <t>Total for East Festivals</t>
  </si>
  <si>
    <t>WEST</t>
  </si>
  <si>
    <t>Total for West Festivals</t>
  </si>
  <si>
    <t>TOTAL SPEND</t>
  </si>
  <si>
    <t>VL</t>
  </si>
  <si>
    <t>Duty of Care/First Aid</t>
  </si>
  <si>
    <t>T&amp;P</t>
  </si>
  <si>
    <t>Access Performances</t>
  </si>
  <si>
    <t>E&amp;C</t>
  </si>
  <si>
    <t>BTO: FEB 17</t>
  </si>
  <si>
    <t>Forecast</t>
  </si>
  <si>
    <t>Global Costs</t>
  </si>
  <si>
    <t>Variance</t>
  </si>
  <si>
    <t>ACTUALS</t>
  </si>
  <si>
    <t>Show</t>
  </si>
  <si>
    <t>The Red Shed</t>
  </si>
  <si>
    <t>Joan</t>
  </si>
  <si>
    <t>Meet Fred
(BSL)</t>
  </si>
  <si>
    <t>The Story of Mr B</t>
  </si>
  <si>
    <t>Family Film Day</t>
  </si>
  <si>
    <t>The Pigeon Detectives (+ support act)</t>
  </si>
  <si>
    <t>Hekima</t>
  </si>
  <si>
    <t>EAST GENERAL AREA COSTS</t>
  </si>
  <si>
    <t>The Story of Mr Day
(2 Relaxed Perfs - Fri 24 Feb)</t>
  </si>
  <si>
    <t>Meet Fred</t>
  </si>
  <si>
    <t>The Red Shed 
(BSL)</t>
  </si>
  <si>
    <t>NORTH GENERAL AREA COSTS</t>
  </si>
  <si>
    <t>Secret Gig</t>
  </si>
  <si>
    <t>Joan 
(Captioned)</t>
  </si>
  <si>
    <t>WEST GENERAL AREA COSTS</t>
  </si>
  <si>
    <t>GENERAL FESTIVAL COSTS</t>
  </si>
  <si>
    <t>Budget</t>
  </si>
  <si>
    <t>Actuals</t>
  </si>
  <si>
    <t>Company</t>
  </si>
  <si>
    <t>Mark Thomas</t>
  </si>
  <si>
    <t>Milk Presents</t>
  </si>
  <si>
    <t>Hijinx</t>
  </si>
  <si>
    <t>Shake Shake</t>
  </si>
  <si>
    <t>Leeds Film Fest</t>
  </si>
  <si>
    <t>Music</t>
  </si>
  <si>
    <t>Comedy</t>
  </si>
  <si>
    <t>Venue</t>
  </si>
  <si>
    <t>Sentamu - Theatre (300)</t>
  </si>
  <si>
    <t>Sentamu Drama Studio (50)</t>
  </si>
  <si>
    <t>Sentamu - Theatre (200)</t>
  </si>
  <si>
    <t>Sentamu Drama Studio (60)</t>
  </si>
  <si>
    <t>Sentamu - Theatre (300 - includes restricted view)</t>
  </si>
  <si>
    <t>Freedom - Main Theatre (350 standing)</t>
  </si>
  <si>
    <t>Sentamu - Winter Garden / Agora (50)</t>
  </si>
  <si>
    <t>Winifred Holtby Drama Studio (60)</t>
  </si>
  <si>
    <t>Kingswood - Main Theatre (300)</t>
  </si>
  <si>
    <t>North Point - Shop Unit? (60)</t>
  </si>
  <si>
    <t>North Point - Atrium (60)</t>
  </si>
  <si>
    <t xml:space="preserve">Winifred Holtby - Main Theatre (300) </t>
  </si>
  <si>
    <t>North Point - Atrium (est. standing max. 200)</t>
  </si>
  <si>
    <t>Sirius Academy - Main Hall (200)</t>
  </si>
  <si>
    <t>Sirius Academy - Drama Studio (50)</t>
  </si>
  <si>
    <t>Hymers (60)
Canteen/Bar</t>
  </si>
  <si>
    <t>Sirius Acdemy - Main Hall (300 standing)</t>
  </si>
  <si>
    <t>William Gemmell - Concert Room (140 seated)</t>
  </si>
  <si>
    <t>Hymers (60)</t>
  </si>
  <si>
    <t>Date</t>
  </si>
  <si>
    <t>24/02/2017
Friday</t>
  </si>
  <si>
    <t>23/02/2017
Thursday</t>
  </si>
  <si>
    <t>25/02/2017
Saturday</t>
  </si>
  <si>
    <t>22/02/2017
Wednesday</t>
  </si>
  <si>
    <t>23/02/2017
Thursday
24/03/2017
Friday</t>
  </si>
  <si>
    <t>Time</t>
  </si>
  <si>
    <t>7.30pm</t>
  </si>
  <si>
    <t>3.30pm</t>
  </si>
  <si>
    <t>11am &amp; 2pm</t>
  </si>
  <si>
    <t>10am - 8pm</t>
  </si>
  <si>
    <t>8.45pm</t>
  </si>
  <si>
    <t>6pm</t>
  </si>
  <si>
    <t>1pm</t>
  </si>
  <si>
    <t>Duration</t>
  </si>
  <si>
    <t>INCOME</t>
  </si>
  <si>
    <t>Variable assumptions</t>
  </si>
  <si>
    <t>Capacity</t>
  </si>
  <si>
    <t>Projected sales %</t>
  </si>
  <si>
    <t>Estimated attendance</t>
  </si>
  <si>
    <t xml:space="preserve">  % Attendance Adult Tickets @ £5.00</t>
  </si>
  <si>
    <t>Adult Ticket sales</t>
  </si>
  <si>
    <t>Adult Ticket price</t>
  </si>
  <si>
    <t xml:space="preserve">  % Attendance Child Tickets @ £2.50</t>
  </si>
  <si>
    <t>Child ticket sales</t>
  </si>
  <si>
    <t>Child ticket price</t>
  </si>
  <si>
    <t xml:space="preserve">  Expected Total Ticket Yield</t>
  </si>
  <si>
    <t xml:space="preserve">  Average Ticket Yield (£)</t>
  </si>
  <si>
    <t>Number of performances</t>
  </si>
  <si>
    <t xml:space="preserve">  Total Attendance</t>
  </si>
  <si>
    <t>Gross Box Office</t>
  </si>
  <si>
    <t>Merchant fee / Spektrix</t>
  </si>
  <si>
    <t>VAT element</t>
  </si>
  <si>
    <t>Net Box Office Contribution</t>
  </si>
  <si>
    <t>Less: Visiting Company and Other Costs</t>
  </si>
  <si>
    <t>Programming Fee</t>
  </si>
  <si>
    <t>Royalty</t>
  </si>
  <si>
    <t>Technical Manager / Apprentice</t>
  </si>
  <si>
    <t>FOH Costs</t>
  </si>
  <si>
    <t>Marketing Manager / Apprentice</t>
  </si>
  <si>
    <t>Total Cost</t>
  </si>
  <si>
    <t xml:space="preserve">TOTAL PROFIT OR LOSS </t>
  </si>
  <si>
    <t>Total Variance</t>
  </si>
  <si>
    <t>Key Assumptions</t>
  </si>
  <si>
    <t>Calculated Fields</t>
  </si>
  <si>
    <t>Guaranteed Fees</t>
  </si>
  <si>
    <t>Royalty rate</t>
  </si>
  <si>
    <t>Models</t>
  </si>
  <si>
    <t xml:space="preserve"> Box Office Data</t>
  </si>
  <si>
    <t>Total Box Office</t>
  </si>
  <si>
    <t>Spektrix fee</t>
  </si>
  <si>
    <t>Merchant fee</t>
  </si>
  <si>
    <t>Total Box Office minus credit cards &amp; VAT</t>
  </si>
  <si>
    <t>Guaranteed Royalty</t>
  </si>
  <si>
    <t>FOH</t>
  </si>
  <si>
    <t>Attendants - Rate</t>
  </si>
  <si>
    <t>Hours</t>
  </si>
  <si>
    <t>Attendants Number</t>
  </si>
  <si>
    <t>Total Performance cost</t>
  </si>
  <si>
    <t>FOH Manager</t>
  </si>
  <si>
    <t>Rate</t>
  </si>
  <si>
    <t>Total cost</t>
  </si>
  <si>
    <t>FOH costs</t>
  </si>
  <si>
    <t>Crew</t>
  </si>
  <si>
    <t>Crew costs</t>
  </si>
  <si>
    <t>Technical input (in half days)</t>
  </si>
  <si>
    <t>Tech Manager costs</t>
  </si>
  <si>
    <t>Technical Hire Costs</t>
  </si>
  <si>
    <t>Light</t>
  </si>
  <si>
    <t>Sound</t>
  </si>
  <si>
    <t>AV</t>
  </si>
  <si>
    <t>Set</t>
  </si>
  <si>
    <t>Miscellaneous</t>
  </si>
  <si>
    <t>Festival Wide</t>
  </si>
  <si>
    <t>Fee</t>
  </si>
  <si>
    <r>
      <rPr>
        <b/>
        <sz val="11"/>
        <color theme="1"/>
        <rFont val="Calibri"/>
        <family val="2"/>
        <scheme val="minor"/>
      </rPr>
      <t>9/11/2016 - Andrea Robinson</t>
    </r>
    <r>
      <rPr>
        <sz val="11"/>
        <color theme="1"/>
        <rFont val="Calibri"/>
        <family val="2"/>
        <scheme val="minor"/>
      </rPr>
      <t xml:space="preserve"> restructured the 'Back to Ours' budget for the purpose of supporting the team in managing the Forecast expenditure to the last agreed budget.</t>
    </r>
  </si>
  <si>
    <t>DONE</t>
  </si>
  <si>
    <t>Therefore Andrea has copied the last agreed figures &amp; saved as Version 6. Then copied in the Feb 17 Tab from the Festival Budget Work in Progress doc.</t>
  </si>
  <si>
    <t>Then realigned the Budget figures back to the original of £26,340</t>
  </si>
  <si>
    <t>Corrected Box Office set up £900 into Budget column (in forecast column in error)</t>
  </si>
  <si>
    <t>Deleted £300 &amp; £4500 as no one knows what they are?</t>
  </si>
  <si>
    <r>
      <rPr>
        <b/>
        <sz val="11"/>
        <color theme="1"/>
        <rFont val="Calibri"/>
        <family val="2"/>
        <scheme val="minor"/>
      </rPr>
      <t>TF - 9/11/2016</t>
    </r>
    <r>
      <rPr>
        <sz val="11"/>
        <color theme="1"/>
        <rFont val="Calibri"/>
        <family val="2"/>
        <scheme val="minor"/>
      </rPr>
      <t xml:space="preserve"> - Have deleted 'Volunteer Duty of Care and Crew care.' next to the Crew Hospitality line as this has been split between the original budget headers of Crew Hospitality and Duty of Care.</t>
    </r>
  </si>
  <si>
    <t>Updated details for Venue Tech Hires tab</t>
  </si>
  <si>
    <t>Updated details for Drssng Rm.Grn Rm.Artst Lisn tab</t>
  </si>
  <si>
    <t>Updated details for Crew Hosp tab</t>
  </si>
  <si>
    <t>Updated details for Duty of Care tab</t>
  </si>
  <si>
    <t>Updated cost of Rev and Makers &amp; Johnny Vegas Venue Tech Hire to £200 per venue</t>
  </si>
  <si>
    <t>Have added £900 per area for remote Box Office set up</t>
  </si>
  <si>
    <t>Removed all costs associated with Up Yours due to budget deficit</t>
  </si>
  <si>
    <t>Increased ticket cost for Rev and Makers + Mark Thomas  to £10/£5 to offset additional costs of the Feb Festival</t>
  </si>
  <si>
    <t>Thom to do: 9.11.16</t>
  </si>
  <si>
    <t>Add detail to forecast notes</t>
  </si>
  <si>
    <t>N/A Anymore</t>
  </si>
  <si>
    <t>Link through Venue Tech Hires from existing breakdown of costs</t>
  </si>
  <si>
    <t>Split the forecast crew figures with Carys &amp; send to Andrea</t>
  </si>
  <si>
    <t>N/A</t>
  </si>
  <si>
    <t>Delete crew element of Feb 17 tab - replace with day rates</t>
  </si>
  <si>
    <t>Andrea to do: 9.11.16</t>
  </si>
  <si>
    <t>align subheadings between Area Festivals tab &amp; Feb 17 tab</t>
  </si>
  <si>
    <t>Set up Tabs with detailed explanations of what they are &amp; how they are made up</t>
  </si>
  <si>
    <r>
      <rPr>
        <b/>
        <sz val="11"/>
        <color theme="1"/>
        <rFont val="Calibri"/>
        <family val="2"/>
        <scheme val="minor"/>
      </rPr>
      <t>TF - 10.11.16</t>
    </r>
    <r>
      <rPr>
        <sz val="11"/>
        <color theme="1"/>
        <rFont val="Calibri"/>
        <family val="2"/>
        <scheme val="minor"/>
      </rPr>
      <t xml:space="preserve"> Updated Film Festival box office predictions</t>
    </r>
  </si>
  <si>
    <t>Updated tech venue hire costs with Carys</t>
  </si>
  <si>
    <t>Mark Thomas tickets reset at £7.50/£5 - approved by HD. Rev tickets left at £10/£5.</t>
  </si>
  <si>
    <t xml:space="preserve">Updated Crew and Tech Mngr &amp; Apprntce costs according to Carys' revised costings. Agreed with Henri that Apprentice may be for May festival and beyond where support 
can be provided for this role, based on Feb experience. </t>
  </si>
  <si>
    <r>
      <rPr>
        <b/>
        <sz val="11"/>
        <color theme="1"/>
        <rFont val="Calibri"/>
        <family val="2"/>
        <scheme val="minor"/>
      </rPr>
      <t>TF - 16.11.16</t>
    </r>
    <r>
      <rPr>
        <sz val="11"/>
        <color theme="1"/>
        <rFont val="Calibri"/>
        <family val="2"/>
        <scheme val="minor"/>
      </rPr>
      <t xml:space="preserve"> Deleted Candoco. Replaced with Hekima as follow up act for JOAN double bill</t>
    </r>
  </si>
  <si>
    <t>Deleted Weathered Estates from Feb festival.</t>
  </si>
  <si>
    <t>Increased Rev &amp; The Makers fee line to include £650 agent's fee and £250 fee for support acts at each gig.</t>
  </si>
  <si>
    <t>Changed ticket prices for Rev &amp; The Makers to £7.50 ticket price across the board.</t>
  </si>
  <si>
    <t>Deleted Up Yours from Feb festival</t>
  </si>
  <si>
    <t>Have decreased the FOH Manager rate to £12 and reallocated this money to an additional FOH attendent for the Family Film Day</t>
  </si>
  <si>
    <t xml:space="preserve">17/11/16 Andrea to do </t>
  </si>
  <si>
    <t>Amend Area Festivals Tab to remove Venue Hire Amounts. Move the amount against Security.</t>
  </si>
  <si>
    <t>Crew Hospitality - No Budget &amp; No Forecast? No costs so take line out altogether</t>
  </si>
  <si>
    <t>17.11.16 TF</t>
  </si>
  <si>
    <t>Update Hekima tech costs and reinstate formula into venue tech hire cells for Hekima</t>
  </si>
  <si>
    <t>Update Hekima audience figures in North Point from 0 to 60</t>
  </si>
  <si>
    <t>18.11.16 TF</t>
  </si>
  <si>
    <t>Updated number of performances of Story of Mr B in Archbishop Sentamu Academy from 4 to 2</t>
  </si>
  <si>
    <t>24.11.16 TF</t>
  </si>
  <si>
    <t>Updated JOAN and Hekima performance times</t>
  </si>
  <si>
    <t>Updated access details in show title row</t>
  </si>
  <si>
    <t>Marked Rev &amp; Makers and Johnny Vegas as red to indicate that these acts are likely to be replaced. Have left ticketing and income assumptions until have further info</t>
  </si>
  <si>
    <t>28.11.16 TF</t>
  </si>
  <si>
    <t>Updated the Family Film Day adult ticket prices from £5 to £2.50 to match child prices.</t>
  </si>
  <si>
    <t>02.12.16 TF</t>
  </si>
  <si>
    <t xml:space="preserve">Amended Rev and The Makers to The Pigeon Detectives. Changes capacity of Freedom from 500 to 300 in line with deal memo. </t>
  </si>
  <si>
    <t>Amended the Artist Liaison line for The Pigeon Detectives to £250 across, in total across all festivals.</t>
  </si>
  <si>
    <t>Amended fee for The Pigeon Detectives to £4500 plus £750 for support act, in total across all venues. (£5900 altogether)</t>
  </si>
  <si>
    <t>Amended security in North Point for The Pigeon Detectives to £300</t>
  </si>
  <si>
    <t>Updated Family Film Day capacity at Winifred Holtby from 50 to 300</t>
  </si>
  <si>
    <t>Updated venues for Hekima</t>
  </si>
  <si>
    <t>Updated FOH and FOH Manager costs across all acts and venues</t>
  </si>
  <si>
    <t>Added £600 evaluation to forecast across all areas (£200 per area)</t>
  </si>
  <si>
    <t>Andrea to do:</t>
  </si>
  <si>
    <t>Insert a column on Summary Tab V6 on Cashflow spreadsheet to show £35k addition</t>
  </si>
  <si>
    <t>AR Done 3.1.17</t>
  </si>
  <si>
    <t>Deducted individual amounts from LIVE Budgets re £35k ie C155.C273.C115.C301.GH amended staffing &amp; Local artists amount no amendment necessary as no budget set up.</t>
  </si>
  <si>
    <t>Add to LIVE budget spreadsheet on BTO</t>
  </si>
  <si>
    <t>Would you like a column on V6 Summary showing how much left to spend? NO, but email my spreadsheet from Onedrive &amp; see what Thom &amp; Louise think?</t>
  </si>
  <si>
    <t>Adviced by Thom/Louise to move £1k of the £9k to security in Feb 17 &amp; the remaining £8k to leave in Security until they have worked on other Festival budgets &amp; decided</t>
  </si>
  <si>
    <t>where the budget will go.</t>
  </si>
  <si>
    <t>Work on BFI Budget &amp; go through with Glenn</t>
  </si>
  <si>
    <t>Louise adv'd budget for Family Film Day = £22,365 &amp; difference between £41,300 &amp; £22,365 is for Outdoor Event = £18935</t>
  </si>
  <si>
    <t>Add forecast detail from LIVE Budget to my Onedrive BTO S/Sheet &amp; Description detail to my Onedrive S/Sheet</t>
  </si>
  <si>
    <t>Email updated One Drive S/Sheet to Thom &amp; Louise to review</t>
  </si>
  <si>
    <t>TF 17.1.17</t>
  </si>
  <si>
    <t>Amended fee for Marketing Engagement Lead from £900 to £600 per area</t>
  </si>
  <si>
    <t>Amended Johnny Vegas title to Secret Gig</t>
  </si>
  <si>
    <t>TF 18.1.17</t>
  </si>
  <si>
    <t xml:space="preserve">Re-added general area columns, following excel file corruption </t>
  </si>
  <si>
    <t>Updated security costs and security notes tab</t>
  </si>
  <si>
    <t>Updated Crew costs according to Carys' quote from HPSS for £5880. Have split this between Crew and Tech Manager / Apprentice to reflect budget allocations</t>
  </si>
  <si>
    <t>Moved the following costs to the general area columns: Marketing Manager/Apprentice, Marketing Campaign, Evaluation, Remote Box Office Set Up</t>
  </si>
  <si>
    <t>Removed the formula on the Tech Hires line which linked the tech hire forecast costs at the base of the Feb 17 tab in agreement with Carys. These costs have been replaced by 
an actual quote from HPSS for the supply of tech hires to all venues. For fine details ask Carys.</t>
  </si>
  <si>
    <t>Added a general festival costs column and included Tech Hires in this.</t>
  </si>
  <si>
    <t>Deleted outdated notes on security cells.</t>
  </si>
  <si>
    <t>Moved the access forecast for Meet Fred (£500) from North to East where the BSL perf is taking place.</t>
  </si>
  <si>
    <t>Moved the access forecast for Red Shed (£500) from East to North where the BSL perf is taking place.</t>
  </si>
  <si>
    <t>Fixed link on Security line item title</t>
  </si>
  <si>
    <t>Copy in New Budget Forecast spreadsheet</t>
  </si>
  <si>
    <t>Include comments from each tab in to Budget Forecast as comments &amp; delete tabs</t>
  </si>
  <si>
    <t>Cross check &amp; update forecast into LIVE budget</t>
  </si>
  <si>
    <t>TF 26.1.17</t>
  </si>
  <si>
    <t>Have removed first aid costs from security line and moved these to duty of care line. We had budgeted £250 against duty of care originally.</t>
  </si>
  <si>
    <t>Updated Tech Hires, Tech Manager/Apprentice, Crew and Transport lines with Carys' HPSS quote</t>
  </si>
  <si>
    <t>Duty of care - this has been updated to include £600 per area for first aid costs</t>
  </si>
  <si>
    <t xml:space="preserve">Build general area costs </t>
  </si>
  <si>
    <t>Consider adding a first aid line into the budget</t>
  </si>
  <si>
    <t>TF to discuss tech quotes and Carys' spreadsheet with Andrea</t>
  </si>
  <si>
    <t>Louise to do:</t>
  </si>
  <si>
    <t>Louise awaiting quote for First Aid but is trying to get it for free  - 4.1.17</t>
  </si>
  <si>
    <t>Louise awaiting updated budget from 'Film Hub North' (Anna/Caroline), re Outdoor Event for BFI</t>
  </si>
  <si>
    <t>Carys to do: 10.11.16</t>
  </si>
  <si>
    <t>Provide detailed crewing costs per show and quote for tech hire from HPSS</t>
  </si>
  <si>
    <t>Ask Glenn Harley re ticket income - Glenn adv'd that this will show in the LIVE Budget eventually but only after it has been reconciled &amp; finance are happy it is correctly split.</t>
  </si>
  <si>
    <t>If you need any information in the interim speak to Jess Fairbank re ticket sales data</t>
  </si>
  <si>
    <t>TF 1.2.17</t>
  </si>
  <si>
    <t xml:space="preserve">Increased artists fee for Secret Gig to £3000 covering Ceri Dupree (£2000) and Gogglebox (£1000) </t>
  </si>
  <si>
    <t>Added forecast figures and ticket sales prediction to Secret Gig</t>
  </si>
  <si>
    <t>Reduced artists liaison cost to reflect Pigeon Detectives deal memo and Red Shed accommodation only.</t>
  </si>
  <si>
    <t>Thom to do:</t>
  </si>
  <si>
    <t>Amend box office income for May/Oct/Feb 18 to take into account £2921.00 increased ticket monies from Feb 17 Festival</t>
  </si>
  <si>
    <t>FOH Costs Feb 17 Festival - spread the amount across Feb 17 but do not change total.</t>
  </si>
  <si>
    <t>Add columns on to Feb 17 tab (having to do again as seems there is an excel problem where it is showing in the Online excel but not on other version?</t>
  </si>
  <si>
    <t>Start May 17 Festival budget Tab</t>
  </si>
  <si>
    <t>TF to look at Dressing Room costs with Louise</t>
  </si>
  <si>
    <t>Consider allocation of Photography/Filming spread throughout BTO festival</t>
  </si>
  <si>
    <t>Consider transport forecast given that some of this will be used to cover tech hires &amp; Hull 2017 van is booked for BTO</t>
  </si>
  <si>
    <t>Clarify Dressing Room / Green Room / Artists Liaison forecast - should this be act (or possibly venue) specific?</t>
  </si>
  <si>
    <t>Should access include some costs (e.g. design) against Mr B relaxed performances?</t>
  </si>
  <si>
    <t>Adjust forecast figures in the Feb 17 Budget to decrease the adverse variances (the adverse variance will reduce from £-1530 to £-750)</t>
  </si>
  <si>
    <t>AR - Details I need from Thom/Carys/Louise:</t>
  </si>
  <si>
    <t>FOH Costs - forecast £3236, budget £1920 - adverse variance of £-1316 what caused the increase against budget &amp; is this going to be a reflection of May/Oct &amp; Feb 18? Emailed 1.2.17</t>
  </si>
  <si>
    <t>Dressing Room/Green Room Set Up/Artist Liason - forecast £1550, budget £420 - adverse variance of £-1330 what caused the increase against budget &amp; is this going to be a reflection of May/Oct &amp; Feb 18? Emailed 1.2.17</t>
  </si>
  <si>
    <t>Duty of Care - the additional First Aid costs - Is this going to impact May/Oct &amp; Feb 18 also? Ask at next meeting</t>
  </si>
  <si>
    <t>Feb 17 Budget will dictate the format for future spend, adverse variances will not reflect on future budgets - as per Henri Friday 10.2.17</t>
  </si>
  <si>
    <t xml:space="preserve">Budget details for BFI as there is now actual spend &amp; Encumb? C601 - Received - Need to Update on LIVE </t>
  </si>
  <si>
    <t>First Aid Cost - New Quote £1400 - Is this confirmed?</t>
  </si>
  <si>
    <t>Phase 3 Electric to put in @ 2 venues (ie Sirius &amp; Freedom Centre) Quote £1500 - Where is this reflected in the budget?</t>
  </si>
  <si>
    <t>Evaluation ZK109.K274.C700 £3150 - If being taken out of evaluation where will this be allocated in the budget?</t>
  </si>
  <si>
    <t>Need to evaluate Feb 17 spend as do not have relevant PO's raised to account for the spend?</t>
  </si>
  <si>
    <t>Prestige Security PO £2050 ZK107.K265.C700 Budget only £1400 as the additional £35k BFI has been removed and added to C601 &amp; re-allocated budget does not include security?</t>
  </si>
  <si>
    <t>TF - 20.2.17</t>
  </si>
  <si>
    <t>FOH Costs updated - will need calculations adding following the Feb festival</t>
  </si>
  <si>
    <t>First Aid cost updated in line with actual quote</t>
  </si>
  <si>
    <t>Updated Security cost in line with actual quote</t>
  </si>
  <si>
    <t>Removed Access £500 for JOAN, which does not require this cost allocation</t>
  </si>
  <si>
    <t>Back to Ours C700</t>
  </si>
  <si>
    <t>LIVE BUDGET TABS</t>
  </si>
  <si>
    <t>Codes</t>
  </si>
  <si>
    <t>Actual</t>
  </si>
  <si>
    <t>Encumb</t>
  </si>
  <si>
    <t>FESTIVALS BUDGET &amp; FORECAST</t>
  </si>
  <si>
    <t>Total</t>
  </si>
  <si>
    <t>CORE NNT TEAM</t>
  </si>
  <si>
    <t xml:space="preserve">Contingency 3% </t>
  </si>
  <si>
    <t>Budget Remaining</t>
  </si>
  <si>
    <t>Jan 17</t>
  </si>
  <si>
    <t>Feb 17</t>
  </si>
  <si>
    <t>Apr 17</t>
  </si>
  <si>
    <t>May 17</t>
  </si>
  <si>
    <t>Jul 17</t>
  </si>
  <si>
    <t>Aug 17</t>
  </si>
  <si>
    <t>Oct 17</t>
  </si>
  <si>
    <t>Nov 17</t>
  </si>
  <si>
    <t>Jan 18</t>
  </si>
  <si>
    <t>Feb 18</t>
  </si>
  <si>
    <t>Apr 18</t>
  </si>
  <si>
    <t>May 18</t>
  </si>
  <si>
    <t>Jul 18</t>
  </si>
  <si>
    <t>Aug 18</t>
  </si>
  <si>
    <t>Venue Partner Go &amp; See</t>
  </si>
  <si>
    <t>ZK102.K201.C700</t>
  </si>
  <si>
    <t>Forecast Updated 6.1.17</t>
  </si>
  <si>
    <t>Programme Director-Exps</t>
  </si>
  <si>
    <t>ZK103.K223.C700</t>
  </si>
  <si>
    <t>Programme Consultant-monthly meetings 1 Year</t>
  </si>
  <si>
    <t>ZK103.K161.C700</t>
  </si>
  <si>
    <t>ZK103.K227.C700</t>
  </si>
  <si>
    <t>Performer Fees-Feb17</t>
  </si>
  <si>
    <t>ZK104.K232.C700</t>
  </si>
  <si>
    <t>Performer Fees-May 17</t>
  </si>
  <si>
    <t>Performer Fees-Oct 17</t>
  </si>
  <si>
    <t>Performer Fees-Feb 18</t>
  </si>
  <si>
    <t>Contingency</t>
  </si>
  <si>
    <t>3% Contingengy</t>
  </si>
  <si>
    <t>Local Technical Manager</t>
  </si>
  <si>
    <t>ZK106.K253.C700</t>
  </si>
  <si>
    <t>Local Technical Apprentice</t>
  </si>
  <si>
    <t>FOH Team</t>
  </si>
  <si>
    <t>Marketing Manager</t>
  </si>
  <si>
    <t>Marketing Apprentice</t>
  </si>
  <si>
    <t>Venue Hire</t>
  </si>
  <si>
    <t>ZK107.K136.C700</t>
  </si>
  <si>
    <t>Forecast Updated 19.1.17</t>
  </si>
  <si>
    <t>Venue Technical Hire</t>
  </si>
  <si>
    <t>Dressing Room / Green Room</t>
  </si>
  <si>
    <t>ZK107.K258.C700</t>
  </si>
  <si>
    <t>ZK107.K265.C700</t>
  </si>
  <si>
    <t>Insurance / Licences</t>
  </si>
  <si>
    <t>ZK108.K162.C700</t>
  </si>
  <si>
    <t>Brand development</t>
  </si>
  <si>
    <t>ZK109.K270.C700</t>
  </si>
  <si>
    <t>Core Campaign</t>
  </si>
  <si>
    <t>Campaign - venue specific</t>
  </si>
  <si>
    <t>Remote box office set up</t>
  </si>
  <si>
    <t>ZK109.K273.C700</t>
  </si>
  <si>
    <t>Photography</t>
  </si>
  <si>
    <t>ZK109.K158.C700</t>
  </si>
  <si>
    <t>Evaluation</t>
  </si>
  <si>
    <t>ZK109.K274.C700</t>
  </si>
  <si>
    <t>ZK110.K281.C700</t>
  </si>
  <si>
    <t>Tech Co-ordinator</t>
  </si>
  <si>
    <t>ZK114.K299.C700</t>
  </si>
  <si>
    <t>Project Administrator</t>
  </si>
  <si>
    <t>Venue Team support</t>
  </si>
  <si>
    <t>Back to Ours - BFI - C601</t>
  </si>
  <si>
    <t xml:space="preserve">Licenses </t>
  </si>
  <si>
    <t>ZK108.K162.C601</t>
  </si>
  <si>
    <t>ZK101.K207.C601</t>
  </si>
  <si>
    <t>Production</t>
  </si>
  <si>
    <t>ZK103.K161.C601</t>
  </si>
  <si>
    <t xml:space="preserve">Project Manager </t>
  </si>
  <si>
    <t>ZK103.K223.C601</t>
  </si>
  <si>
    <t>Marketing</t>
  </si>
  <si>
    <t>ZK109.K270.C601</t>
  </si>
  <si>
    <t>Admin &amp; Misc</t>
  </si>
  <si>
    <t>ZK114.K115.C601</t>
  </si>
  <si>
    <t>Contingency 5%</t>
  </si>
  <si>
    <t>ZK104.K232.C601</t>
  </si>
  <si>
    <t>Ticket Income</t>
  </si>
  <si>
    <t>C601</t>
  </si>
  <si>
    <t>Check</t>
  </si>
  <si>
    <t>C700</t>
  </si>
  <si>
    <t>British Film Institute - BFI - Budget</t>
  </si>
  <si>
    <t xml:space="preserve">Back to Ours C601 </t>
  </si>
  <si>
    <t>Picture House Family Film Day</t>
  </si>
  <si>
    <t>CASH</t>
  </si>
  <si>
    <t>IN-KIND</t>
  </si>
  <si>
    <t>NOTES</t>
  </si>
  <si>
    <t>Back to Ours - Cinematic Experience</t>
  </si>
  <si>
    <t>BFI</t>
  </si>
  <si>
    <t>Hull City of Culture venue partnerships</t>
  </si>
  <si>
    <t xml:space="preserve">HULL 2017 </t>
  </si>
  <si>
    <t>Marketing and social media/Producer and management</t>
  </si>
  <si>
    <t>Ticket Sale income</t>
  </si>
  <si>
    <t>please estimate ticket sales and price of ticket</t>
  </si>
  <si>
    <t>Interactive activities</t>
  </si>
  <si>
    <t>Chris Fell - Leeds Int Film Festival</t>
  </si>
  <si>
    <t>Louise Yates waiting for breakdown from Chris Fell. Henri requires more detail.</t>
  </si>
  <si>
    <t>However use this breakdown which Thom emailed me Fri 10/2/17 and input in LIVE</t>
  </si>
  <si>
    <t>TOTAL</t>
  </si>
  <si>
    <t>GRAND TOTAL</t>
  </si>
  <si>
    <t xml:space="preserve"> </t>
  </si>
  <si>
    <t xml:space="preserve">14.2.17  - Take out £5,325 as per GH - agreed at SLT Meeting - decided cannot add at the </t>
  </si>
  <si>
    <t>moment.</t>
  </si>
  <si>
    <t>15.2.17 - Henri to advise re split of £2,394 Project Management &amp; Marketing. Needs to be</t>
  </si>
  <si>
    <t>shown as Project Manager &amp; Marketing seperately.</t>
  </si>
  <si>
    <t>Number of paid venues</t>
  </si>
  <si>
    <t>Fee per paid venue</t>
  </si>
  <si>
    <t>Fee per technical hire</t>
  </si>
  <si>
    <t>Dressing room set up per venue</t>
  </si>
  <si>
    <t>Transport per venue</t>
  </si>
  <si>
    <t>Duty of care</t>
  </si>
  <si>
    <t>Number of people</t>
  </si>
  <si>
    <t>Charge per day</t>
  </si>
  <si>
    <t>TECHNICAL COST</t>
  </si>
  <si>
    <t>Daily rate for:</t>
  </si>
  <si>
    <t>- Days needed</t>
  </si>
  <si>
    <t xml:space="preserve">Local Technical Apprentice </t>
  </si>
  <si>
    <t xml:space="preserve"> - Days needed</t>
  </si>
  <si>
    <t xml:space="preserve"> - Number needed</t>
  </si>
  <si>
    <t>FOH / Box Office Manager</t>
  </si>
  <si>
    <t>FOH / Box Office team</t>
  </si>
  <si>
    <t>FESTIVAL STAFF</t>
  </si>
  <si>
    <t>Local Marketing &amp; Engagement Manager</t>
  </si>
  <si>
    <t xml:space="preserve">Photography / filming </t>
  </si>
  <si>
    <t>Marketing campaign per venue</t>
  </si>
  <si>
    <t>Access performance</t>
  </si>
  <si>
    <t>ENGAGEMENT</t>
  </si>
  <si>
    <t>TOTAL COST</t>
  </si>
  <si>
    <t>Target cost</t>
  </si>
  <si>
    <t>Original budget</t>
  </si>
  <si>
    <t>Revised</t>
  </si>
  <si>
    <t>Reduction</t>
  </si>
  <si>
    <t>Engagement / Delivery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</si>
</sst>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0.0%"/>
    <numFmt numFmtId="165" formatCode="_-* #,##0_-;\-* #,##0_-;_-* &quot;-&quot;??_-;_-@_-"/>
    <numFmt numFmtId="166" formatCode="#,##0;\(#,##0\)"/>
    <numFmt numFmtId="167" formatCode="&quot;£ &quot;#,##0.00;\(&quot;£ &quot;#,##0.00\)"/>
    <numFmt numFmtId="168" formatCode="&quot;£ &quot;#,##0;\(&quot;£ &quot;#,##0\)"/>
    <numFmt numFmtId="169" formatCode="_-* #,##0.0_-;\-* #,##0.0_-;_-* &quot;-&quot;??_-;_-@_-"/>
    <numFmt numFmtId="170" formatCode="#,##0.00;\(#,##0.00\)"/>
    <numFmt numFmtId="171" formatCode="&quot;£&quot;#,##0"/>
    <numFmt numFmtId="172" formatCode="#,##0.0"/>
  </numFmts>
  <fonts count="33">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2"/>
      <name val="Times New Roman"/>
      <family val="1"/>
    </font>
    <font>
      <sz val="12"/>
      <name val="Geneva"/>
    </font>
    <font>
      <b/>
      <sz val="9"/>
      <color indexed="81"/>
      <name val="Tahoma"/>
      <family val="2"/>
    </font>
    <font>
      <sz val="9"/>
      <color indexed="81"/>
      <name val="Tahoma"/>
      <family val="2"/>
    </font>
    <font>
      <sz val="10"/>
      <color indexed="81"/>
      <name val="Tahoma"/>
      <family val="2"/>
    </font>
    <font>
      <b/>
      <sz val="10"/>
      <name val="Arial"/>
      <family val="2"/>
    </font>
    <font>
      <b/>
      <u/>
      <sz val="10"/>
      <name val="Arial"/>
      <family val="2"/>
    </font>
    <font>
      <u/>
      <sz val="10"/>
      <name val="Arial"/>
      <family val="2"/>
    </font>
    <font>
      <b/>
      <i/>
      <sz val="10"/>
      <name val="Arial"/>
      <family val="2"/>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u/>
      <sz val="11"/>
      <color theme="1"/>
      <name val="Calibri"/>
      <family val="2"/>
      <scheme val="minor"/>
    </font>
    <font>
      <b/>
      <sz val="12"/>
      <color theme="1"/>
      <name val="Calibri"/>
      <family val="2"/>
      <scheme val="minor"/>
    </font>
    <font>
      <b/>
      <sz val="10"/>
      <color rgb="FFFF0000"/>
      <name val="Arial"/>
      <family val="2"/>
    </font>
    <font>
      <b/>
      <sz val="11"/>
      <color rgb="FF000000"/>
      <name val="Calibri"/>
      <family val="2"/>
      <scheme val="minor"/>
    </font>
    <font>
      <sz val="11"/>
      <color rgb="FF000000"/>
      <name val="Calibri"/>
      <family val="2"/>
      <scheme val="minor"/>
    </font>
    <font>
      <b/>
      <sz val="11"/>
      <name val="Calibri"/>
      <family val="2"/>
      <scheme val="minor"/>
    </font>
    <font>
      <b/>
      <u/>
      <sz val="10"/>
      <color theme="1"/>
      <name val="Calibri"/>
      <family val="2"/>
      <scheme val="minor"/>
    </font>
    <font>
      <sz val="8"/>
      <color theme="1"/>
      <name val="Calibri"/>
      <family val="2"/>
      <scheme val="minor"/>
    </font>
    <font>
      <sz val="10"/>
      <color rgb="FF333333"/>
      <name val="Calibri"/>
      <family val="2"/>
      <scheme val="minor"/>
    </font>
    <font>
      <b/>
      <sz val="11"/>
      <color rgb="FF000000"/>
      <name val="Arial"/>
      <family val="2"/>
    </font>
    <font>
      <sz val="11"/>
      <color rgb="FF000000"/>
      <name val="Arial"/>
      <family val="2"/>
    </font>
    <font>
      <sz val="11"/>
      <color theme="1"/>
      <name val="Arial"/>
      <family val="2"/>
    </font>
    <font>
      <b/>
      <sz val="11"/>
      <color theme="1"/>
      <name val="Arial"/>
      <family val="2"/>
    </font>
    <font>
      <sz val="9"/>
      <color indexed="81"/>
      <name val="Tahoma"/>
      <charset val="1"/>
    </font>
    <font>
      <b/>
      <sz val="9"/>
      <color indexed="81"/>
      <name val="Tahoma"/>
      <charset val="1"/>
    </font>
  </fonts>
  <fills count="2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44"/>
        <bgColor indexed="64"/>
      </patternFill>
    </fill>
    <fill>
      <patternFill patternType="solid">
        <fgColor rgb="FFFFFF99"/>
        <bgColor indexed="64"/>
      </patternFill>
    </fill>
    <fill>
      <patternFill patternType="solid">
        <fgColor indexed="43"/>
        <bgColor indexed="64"/>
      </patternFill>
    </fill>
    <fill>
      <patternFill patternType="solid">
        <fgColor rgb="FFFFC000"/>
        <bgColor indexed="64"/>
      </patternFill>
    </fill>
    <fill>
      <patternFill patternType="solid">
        <fgColor rgb="FFFDE9D9"/>
        <bgColor indexed="64"/>
      </patternFill>
    </fill>
    <fill>
      <patternFill patternType="solid">
        <fgColor rgb="FFD9D2E9"/>
        <bgColor indexed="64"/>
      </patternFill>
    </fill>
    <fill>
      <patternFill patternType="solid">
        <fgColor rgb="FFFFCC99"/>
        <bgColor indexed="64"/>
      </patternFill>
    </fill>
    <fill>
      <patternFill patternType="solid">
        <fgColor rgb="FFD9D2E9"/>
        <bgColor rgb="FFD9D2E9"/>
      </patternFill>
    </fill>
    <fill>
      <patternFill patternType="solid">
        <fgColor theme="6" tint="0.39997558519241921"/>
        <bgColor indexed="64"/>
      </patternFill>
    </fill>
  </fills>
  <borders count="5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166" fontId="5" fillId="0" borderId="0"/>
    <xf numFmtId="0" fontId="6" fillId="0" borderId="0" applyNumberFormat="0"/>
  </cellStyleXfs>
  <cellXfs count="516">
    <xf numFmtId="0" fontId="0" fillId="0" borderId="0" xfId="0"/>
    <xf numFmtId="0" fontId="2" fillId="0" borderId="0" xfId="0" applyFont="1"/>
    <xf numFmtId="0" fontId="0" fillId="0" borderId="0" xfId="0" applyFill="1"/>
    <xf numFmtId="0" fontId="2" fillId="5" borderId="0" xfId="0" applyFont="1" applyFill="1"/>
    <xf numFmtId="0" fontId="0" fillId="7" borderId="0" xfId="0" applyFill="1"/>
    <xf numFmtId="0" fontId="0" fillId="7" borderId="1" xfId="0" applyFill="1" applyBorder="1"/>
    <xf numFmtId="0" fontId="0" fillId="7" borderId="0" xfId="0" applyFill="1" applyBorder="1"/>
    <xf numFmtId="0" fontId="0" fillId="7" borderId="3" xfId="0" applyFill="1" applyBorder="1"/>
    <xf numFmtId="0" fontId="0" fillId="7" borderId="7" xfId="0" applyFill="1" applyBorder="1"/>
    <xf numFmtId="0" fontId="2" fillId="7" borderId="7" xfId="0" applyFont="1" applyFill="1" applyBorder="1"/>
    <xf numFmtId="0" fontId="0" fillId="0" borderId="8" xfId="0" applyBorder="1"/>
    <xf numFmtId="0" fontId="0" fillId="0" borderId="9" xfId="0" applyBorder="1"/>
    <xf numFmtId="17" fontId="2" fillId="0" borderId="10" xfId="0" applyNumberFormat="1" applyFont="1" applyBorder="1"/>
    <xf numFmtId="0" fontId="0" fillId="7" borderId="11" xfId="0" applyFill="1" applyBorder="1"/>
    <xf numFmtId="0" fontId="0" fillId="5" borderId="0" xfId="0" applyFill="1" applyBorder="1"/>
    <xf numFmtId="0" fontId="2" fillId="7" borderId="12" xfId="0" applyFont="1" applyFill="1" applyBorder="1"/>
    <xf numFmtId="0" fontId="0" fillId="5" borderId="11" xfId="0" applyFill="1" applyBorder="1"/>
    <xf numFmtId="0" fontId="0" fillId="7" borderId="13" xfId="0" applyFill="1" applyBorder="1"/>
    <xf numFmtId="0" fontId="0" fillId="7" borderId="15" xfId="0" applyFill="1" applyBorder="1"/>
    <xf numFmtId="0" fontId="2" fillId="7" borderId="16" xfId="0" applyFont="1" applyFill="1" applyBorder="1"/>
    <xf numFmtId="0" fontId="0" fillId="7" borderId="17" xfId="0" applyFill="1" applyBorder="1"/>
    <xf numFmtId="0" fontId="0" fillId="7" borderId="18" xfId="0" applyFill="1" applyBorder="1"/>
    <xf numFmtId="0" fontId="2" fillId="7" borderId="19" xfId="0" applyFont="1" applyFill="1" applyBorder="1"/>
    <xf numFmtId="0" fontId="0" fillId="8" borderId="0" xfId="0" applyFill="1"/>
    <xf numFmtId="0" fontId="2" fillId="8" borderId="0" xfId="0" applyFont="1" applyFill="1"/>
    <xf numFmtId="0" fontId="3" fillId="0" borderId="0" xfId="0" applyFont="1"/>
    <xf numFmtId="0" fontId="2" fillId="0" borderId="20" xfId="0" applyFont="1" applyBorder="1"/>
    <xf numFmtId="0" fontId="2" fillId="0" borderId="1" xfId="0" applyFont="1" applyBorder="1"/>
    <xf numFmtId="17" fontId="2" fillId="0" borderId="0" xfId="0" applyNumberFormat="1" applyFont="1"/>
    <xf numFmtId="0" fontId="0" fillId="0" borderId="11" xfId="0" applyBorder="1"/>
    <xf numFmtId="164" fontId="0" fillId="0" borderId="12" xfId="1" applyNumberFormat="1" applyFont="1" applyBorder="1"/>
    <xf numFmtId="0" fontId="2" fillId="0" borderId="17" xfId="0" applyFont="1" applyBorder="1"/>
    <xf numFmtId="0" fontId="2" fillId="0" borderId="8" xfId="0" applyFont="1" applyBorder="1"/>
    <xf numFmtId="3" fontId="2" fillId="0" borderId="0" xfId="0" applyNumberFormat="1" applyFont="1"/>
    <xf numFmtId="3" fontId="0" fillId="0" borderId="0" xfId="0" applyNumberFormat="1"/>
    <xf numFmtId="3" fontId="0" fillId="0" borderId="0" xfId="0" applyNumberFormat="1" applyFont="1"/>
    <xf numFmtId="3" fontId="2" fillId="0" borderId="1" xfId="0" applyNumberFormat="1" applyFont="1" applyBorder="1"/>
    <xf numFmtId="3" fontId="2" fillId="0" borderId="20" xfId="0" applyNumberFormat="1" applyFont="1" applyBorder="1"/>
    <xf numFmtId="3" fontId="0" fillId="0" borderId="10" xfId="0" applyNumberFormat="1" applyBorder="1"/>
    <xf numFmtId="3" fontId="0" fillId="0" borderId="12" xfId="0" applyNumberFormat="1" applyBorder="1"/>
    <xf numFmtId="3" fontId="2" fillId="0" borderId="19" xfId="0" applyNumberFormat="1" applyFont="1" applyBorder="1"/>
    <xf numFmtId="0" fontId="0" fillId="0" borderId="0" xfId="0" quotePrefix="1" applyFill="1"/>
    <xf numFmtId="0" fontId="0" fillId="7" borderId="0" xfId="0" applyFont="1" applyFill="1"/>
    <xf numFmtId="0" fontId="0" fillId="7" borderId="14" xfId="0" applyFill="1" applyBorder="1"/>
    <xf numFmtId="165" fontId="0" fillId="0" borderId="0" xfId="2" applyNumberFormat="1" applyFont="1"/>
    <xf numFmtId="165" fontId="2" fillId="7" borderId="12" xfId="2" applyNumberFormat="1" applyFont="1" applyFill="1" applyBorder="1"/>
    <xf numFmtId="165" fontId="2" fillId="7" borderId="14" xfId="2" applyNumberFormat="1" applyFont="1" applyFill="1" applyBorder="1"/>
    <xf numFmtId="165" fontId="2" fillId="7" borderId="16" xfId="2" applyNumberFormat="1" applyFont="1" applyFill="1" applyBorder="1"/>
    <xf numFmtId="165" fontId="2" fillId="7" borderId="19" xfId="2" applyNumberFormat="1" applyFont="1" applyFill="1" applyBorder="1"/>
    <xf numFmtId="165" fontId="2" fillId="0" borderId="0" xfId="2" applyNumberFormat="1" applyFont="1"/>
    <xf numFmtId="165" fontId="2" fillId="7" borderId="7" xfId="2" applyNumberFormat="1" applyFont="1" applyFill="1" applyBorder="1"/>
    <xf numFmtId="165" fontId="2" fillId="8" borderId="0" xfId="2" applyNumberFormat="1" applyFont="1" applyFill="1"/>
    <xf numFmtId="0" fontId="4" fillId="9" borderId="30" xfId="3" applyFont="1" applyFill="1" applyBorder="1" applyAlignment="1">
      <alignment horizontal="center" wrapText="1"/>
    </xf>
    <xf numFmtId="0" fontId="4" fillId="9" borderId="0" xfId="3" applyFont="1" applyFill="1" applyBorder="1" applyAlignment="1">
      <alignment horizontal="center" wrapText="1"/>
    </xf>
    <xf numFmtId="0" fontId="4" fillId="9" borderId="31" xfId="3" applyFont="1" applyFill="1" applyBorder="1" applyAlignment="1">
      <alignment horizontal="center" wrapText="1"/>
    </xf>
    <xf numFmtId="0" fontId="4" fillId="9" borderId="12" xfId="3" applyFont="1" applyFill="1" applyBorder="1" applyAlignment="1">
      <alignment horizontal="center" wrapText="1"/>
    </xf>
    <xf numFmtId="0" fontId="4" fillId="0" borderId="29" xfId="3" applyFont="1" applyBorder="1" applyAlignment="1">
      <alignment horizontal="center" wrapText="1"/>
    </xf>
    <xf numFmtId="14" fontId="4" fillId="9" borderId="30" xfId="3" applyNumberFormat="1" applyFont="1" applyFill="1" applyBorder="1" applyAlignment="1">
      <alignment horizontal="center" wrapText="1"/>
    </xf>
    <xf numFmtId="14" fontId="4" fillId="9" borderId="0" xfId="3" applyNumberFormat="1" applyFont="1" applyFill="1" applyBorder="1" applyAlignment="1">
      <alignment horizontal="center" wrapText="1"/>
    </xf>
    <xf numFmtId="14" fontId="4" fillId="9" borderId="31" xfId="3" applyNumberFormat="1" applyFont="1" applyFill="1" applyBorder="1" applyAlignment="1">
      <alignment horizontal="center" wrapText="1"/>
    </xf>
    <xf numFmtId="14" fontId="4" fillId="9" borderId="12" xfId="3" applyNumberFormat="1" applyFont="1" applyFill="1" applyBorder="1" applyAlignment="1">
      <alignment horizontal="center" wrapText="1"/>
    </xf>
    <xf numFmtId="14" fontId="4" fillId="0" borderId="0" xfId="3" applyNumberFormat="1" applyFont="1" applyBorder="1" applyAlignment="1">
      <alignment horizontal="center" wrapText="1"/>
    </xf>
    <xf numFmtId="14" fontId="4" fillId="0" borderId="30" xfId="3" applyNumberFormat="1" applyFont="1" applyBorder="1" applyAlignment="1">
      <alignment horizontal="center" wrapText="1"/>
    </xf>
    <xf numFmtId="14" fontId="4" fillId="0" borderId="31" xfId="3" applyNumberFormat="1" applyFont="1" applyBorder="1" applyAlignment="1">
      <alignment horizontal="center" wrapText="1"/>
    </xf>
    <xf numFmtId="14" fontId="4" fillId="0" borderId="12" xfId="3" applyNumberFormat="1" applyFont="1" applyBorder="1" applyAlignment="1">
      <alignment horizontal="center" wrapText="1"/>
    </xf>
    <xf numFmtId="0" fontId="4" fillId="0" borderId="0" xfId="3" applyFont="1"/>
    <xf numFmtId="0" fontId="4" fillId="0" borderId="24" xfId="3" applyFont="1" applyBorder="1"/>
    <xf numFmtId="0" fontId="4" fillId="0" borderId="25" xfId="3" applyFont="1" applyFill="1" applyBorder="1"/>
    <xf numFmtId="0" fontId="10" fillId="0" borderId="26" xfId="3" applyFont="1" applyBorder="1" applyAlignment="1">
      <alignment horizontal="center"/>
    </xf>
    <xf numFmtId="0" fontId="10" fillId="0" borderId="3" xfId="3" applyFont="1" applyBorder="1" applyAlignment="1">
      <alignment horizontal="center"/>
    </xf>
    <xf numFmtId="0" fontId="10" fillId="0" borderId="27" xfId="3" applyFont="1" applyBorder="1" applyAlignment="1">
      <alignment horizontal="center"/>
    </xf>
    <xf numFmtId="0" fontId="10" fillId="0" borderId="16" xfId="3" applyFont="1" applyBorder="1" applyAlignment="1">
      <alignment horizontal="center"/>
    </xf>
    <xf numFmtId="0" fontId="10" fillId="0" borderId="28" xfId="3" applyFont="1" applyBorder="1" applyAlignment="1">
      <alignment horizontal="center"/>
    </xf>
    <xf numFmtId="0" fontId="10" fillId="0" borderId="29" xfId="3" applyFont="1" applyFill="1" applyBorder="1" applyAlignment="1">
      <alignment horizontal="center" vertical="center"/>
    </xf>
    <xf numFmtId="166" fontId="10" fillId="0" borderId="30" xfId="4" applyFont="1" applyBorder="1" applyAlignment="1">
      <alignment horizontal="center"/>
    </xf>
    <xf numFmtId="166" fontId="10" fillId="0" borderId="0" xfId="4" applyFont="1" applyBorder="1" applyAlignment="1">
      <alignment horizontal="center"/>
    </xf>
    <xf numFmtId="166" fontId="10" fillId="0" borderId="31" xfId="4" applyFont="1" applyBorder="1" applyAlignment="1">
      <alignment horizontal="center"/>
    </xf>
    <xf numFmtId="166" fontId="10" fillId="0" borderId="12" xfId="4" applyFont="1" applyBorder="1" applyAlignment="1">
      <alignment horizontal="center"/>
    </xf>
    <xf numFmtId="166" fontId="10" fillId="0" borderId="29" xfId="4" applyFont="1" applyBorder="1" applyAlignment="1">
      <alignment horizontal="center"/>
    </xf>
    <xf numFmtId="0" fontId="10" fillId="0" borderId="29" xfId="3" applyFont="1" applyBorder="1" applyAlignment="1">
      <alignment horizontal="center"/>
    </xf>
    <xf numFmtId="166" fontId="10" fillId="0" borderId="29" xfId="4" applyFont="1" applyFill="1" applyBorder="1" applyAlignment="1"/>
    <xf numFmtId="0" fontId="10" fillId="0" borderId="0" xfId="3" applyFont="1" applyBorder="1" applyAlignment="1">
      <alignment horizontal="right" vertical="top" wrapText="1"/>
    </xf>
    <xf numFmtId="0" fontId="10" fillId="0" borderId="30" xfId="3" applyFont="1" applyFill="1" applyBorder="1" applyAlignment="1">
      <alignment horizontal="center" vertical="top" wrapText="1"/>
    </xf>
    <xf numFmtId="0" fontId="10" fillId="0" borderId="0" xfId="3" applyFont="1" applyFill="1" applyBorder="1" applyAlignment="1">
      <alignment horizontal="center" vertical="top" wrapText="1"/>
    </xf>
    <xf numFmtId="0" fontId="10" fillId="0" borderId="31" xfId="3" applyFont="1" applyFill="1" applyBorder="1" applyAlignment="1">
      <alignment horizontal="center" vertical="top" wrapText="1"/>
    </xf>
    <xf numFmtId="0" fontId="10" fillId="0" borderId="12" xfId="3" applyFont="1" applyFill="1" applyBorder="1" applyAlignment="1">
      <alignment horizontal="center" vertical="top" wrapText="1"/>
    </xf>
    <xf numFmtId="0" fontId="10" fillId="0" borderId="29" xfId="3" applyFont="1" applyFill="1" applyBorder="1" applyAlignment="1">
      <alignment horizontal="center" vertical="top" wrapText="1"/>
    </xf>
    <xf numFmtId="0" fontId="4" fillId="0" borderId="29" xfId="3" applyFont="1" applyBorder="1" applyAlignment="1">
      <alignment horizontal="center" vertical="top" wrapText="1"/>
    </xf>
    <xf numFmtId="0" fontId="4" fillId="0" borderId="29" xfId="3" applyFont="1" applyBorder="1" applyAlignment="1">
      <alignment horizontal="center"/>
    </xf>
    <xf numFmtId="0" fontId="11" fillId="0" borderId="30" xfId="4" applyNumberFormat="1" applyFont="1" applyBorder="1" applyAlignment="1"/>
    <xf numFmtId="166" fontId="4" fillId="0" borderId="30" xfId="4" applyFont="1" applyBorder="1" applyAlignment="1"/>
    <xf numFmtId="166" fontId="4" fillId="0" borderId="0" xfId="4" applyFont="1" applyBorder="1" applyAlignment="1"/>
    <xf numFmtId="166" fontId="4" fillId="0" borderId="31" xfId="4" applyFont="1" applyBorder="1" applyAlignment="1"/>
    <xf numFmtId="166" fontId="4" fillId="0" borderId="12" xfId="4" applyFont="1" applyBorder="1" applyAlignment="1"/>
    <xf numFmtId="166" fontId="4" fillId="0" borderId="29" xfId="4" applyFont="1" applyBorder="1" applyAlignment="1"/>
    <xf numFmtId="0" fontId="12" fillId="0" borderId="29" xfId="3" applyFont="1" applyBorder="1"/>
    <xf numFmtId="166" fontId="4" fillId="0" borderId="29" xfId="4" applyFont="1" applyFill="1" applyBorder="1" applyAlignment="1"/>
    <xf numFmtId="0" fontId="13" fillId="10" borderId="30" xfId="4" applyNumberFormat="1" applyFont="1" applyFill="1" applyBorder="1" applyAlignment="1"/>
    <xf numFmtId="166" fontId="13" fillId="0" borderId="30" xfId="4" quotePrefix="1" applyFont="1" applyBorder="1" applyAlignment="1">
      <alignment horizontal="right"/>
    </xf>
    <xf numFmtId="166" fontId="13" fillId="0" borderId="0" xfId="4" quotePrefix="1" applyFont="1" applyBorder="1" applyAlignment="1">
      <alignment horizontal="right"/>
    </xf>
    <xf numFmtId="166" fontId="13" fillId="0" borderId="31" xfId="4" quotePrefix="1" applyFont="1" applyBorder="1" applyAlignment="1">
      <alignment horizontal="right"/>
    </xf>
    <xf numFmtId="166" fontId="13" fillId="0" borderId="12" xfId="4" quotePrefix="1" applyFont="1" applyBorder="1" applyAlignment="1">
      <alignment horizontal="right"/>
    </xf>
    <xf numFmtId="166" fontId="13" fillId="0" borderId="29" xfId="4" quotePrefix="1" applyFont="1" applyBorder="1" applyAlignment="1">
      <alignment horizontal="right"/>
    </xf>
    <xf numFmtId="166" fontId="4" fillId="0" borderId="29" xfId="4" applyFont="1" applyBorder="1"/>
    <xf numFmtId="166" fontId="13" fillId="0" borderId="29" xfId="4" quotePrefix="1" applyFont="1" applyFill="1" applyBorder="1" applyAlignment="1">
      <alignment horizontal="right"/>
    </xf>
    <xf numFmtId="0" fontId="4" fillId="10" borderId="30" xfId="4" applyNumberFormat="1" applyFont="1" applyFill="1" applyBorder="1" applyAlignment="1"/>
    <xf numFmtId="166" fontId="13" fillId="11" borderId="30" xfId="4" quotePrefix="1" applyFont="1" applyFill="1" applyBorder="1" applyAlignment="1">
      <alignment horizontal="right"/>
    </xf>
    <xf numFmtId="166" fontId="13" fillId="11" borderId="0" xfId="4" quotePrefix="1" applyFont="1" applyFill="1" applyBorder="1" applyAlignment="1">
      <alignment horizontal="right"/>
    </xf>
    <xf numFmtId="166" fontId="13" fillId="11" borderId="31" xfId="4" quotePrefix="1" applyFont="1" applyFill="1" applyBorder="1" applyAlignment="1">
      <alignment horizontal="right"/>
    </xf>
    <xf numFmtId="166" fontId="4" fillId="10" borderId="30" xfId="4" applyFont="1" applyFill="1" applyBorder="1" applyAlignment="1"/>
    <xf numFmtId="9" fontId="13" fillId="11" borderId="30" xfId="1" applyFont="1" applyFill="1" applyBorder="1"/>
    <xf numFmtId="9" fontId="13" fillId="11" borderId="0" xfId="1" applyFont="1" applyFill="1" applyBorder="1"/>
    <xf numFmtId="9" fontId="13" fillId="11" borderId="31" xfId="1" applyFont="1" applyFill="1" applyBorder="1"/>
    <xf numFmtId="166" fontId="10" fillId="0" borderId="29" xfId="4" applyFont="1" applyBorder="1"/>
    <xf numFmtId="166" fontId="13" fillId="0" borderId="29" xfId="4" applyFont="1" applyFill="1" applyBorder="1"/>
    <xf numFmtId="166" fontId="13" fillId="10" borderId="30" xfId="4" applyFont="1" applyFill="1" applyBorder="1"/>
    <xf numFmtId="166" fontId="13" fillId="10" borderId="0" xfId="4" applyFont="1" applyFill="1" applyBorder="1"/>
    <xf numFmtId="166" fontId="13" fillId="10" borderId="31" xfId="4" applyFont="1" applyFill="1" applyBorder="1"/>
    <xf numFmtId="166" fontId="13" fillId="10" borderId="12" xfId="4" applyFont="1" applyFill="1" applyBorder="1"/>
    <xf numFmtId="9" fontId="13" fillId="11" borderId="12" xfId="1" applyFont="1" applyFill="1" applyBorder="1"/>
    <xf numFmtId="0" fontId="4" fillId="12" borderId="0" xfId="3" applyFont="1" applyFill="1"/>
    <xf numFmtId="165" fontId="13" fillId="0" borderId="30" xfId="2" applyNumberFormat="1" applyFont="1" applyFill="1" applyBorder="1"/>
    <xf numFmtId="165" fontId="13" fillId="0" borderId="0" xfId="2" applyNumberFormat="1" applyFont="1" applyFill="1" applyBorder="1"/>
    <xf numFmtId="165" fontId="13" fillId="0" borderId="31" xfId="2" applyNumberFormat="1" applyFont="1" applyFill="1" applyBorder="1"/>
    <xf numFmtId="165" fontId="13" fillId="0" borderId="12" xfId="2" applyNumberFormat="1" applyFont="1" applyFill="1" applyBorder="1"/>
    <xf numFmtId="2" fontId="13" fillId="11" borderId="30" xfId="4" applyNumberFormat="1" applyFont="1" applyFill="1" applyBorder="1"/>
    <xf numFmtId="2" fontId="13" fillId="11" borderId="0" xfId="4" applyNumberFormat="1" applyFont="1" applyFill="1" applyBorder="1"/>
    <xf numFmtId="2" fontId="13" fillId="11" borderId="31" xfId="4" applyNumberFormat="1" applyFont="1" applyFill="1" applyBorder="1"/>
    <xf numFmtId="2" fontId="13" fillId="11" borderId="12" xfId="4" applyNumberFormat="1" applyFont="1" applyFill="1" applyBorder="1"/>
    <xf numFmtId="9" fontId="13" fillId="0" borderId="30" xfId="1" applyFont="1" applyFill="1" applyBorder="1"/>
    <xf numFmtId="9" fontId="13" fillId="0" borderId="0" xfId="1" applyFont="1" applyFill="1" applyBorder="1"/>
    <xf numFmtId="9" fontId="13" fillId="0" borderId="31" xfId="1" applyFont="1" applyFill="1" applyBorder="1"/>
    <xf numFmtId="9" fontId="13" fillId="0" borderId="12" xfId="1" applyFont="1" applyFill="1" applyBorder="1"/>
    <xf numFmtId="1" fontId="13" fillId="0" borderId="30" xfId="4" applyNumberFormat="1" applyFont="1" applyFill="1" applyBorder="1"/>
    <xf numFmtId="1" fontId="13" fillId="0" borderId="0" xfId="4" applyNumberFormat="1" applyFont="1" applyFill="1" applyBorder="1"/>
    <xf numFmtId="1" fontId="13" fillId="0" borderId="31" xfId="4" applyNumberFormat="1" applyFont="1" applyFill="1" applyBorder="1"/>
    <xf numFmtId="1" fontId="13" fillId="0" borderId="12" xfId="4" applyNumberFormat="1" applyFont="1" applyFill="1" applyBorder="1"/>
    <xf numFmtId="166" fontId="4" fillId="10" borderId="30" xfId="4" applyFont="1" applyFill="1" applyBorder="1" applyAlignment="1">
      <alignment horizontal="left"/>
    </xf>
    <xf numFmtId="43" fontId="10" fillId="10" borderId="30" xfId="4" applyNumberFormat="1" applyFont="1" applyFill="1" applyBorder="1" applyAlignment="1">
      <alignment horizontal="right"/>
    </xf>
    <xf numFmtId="43" fontId="10" fillId="10" borderId="0" xfId="4" applyNumberFormat="1" applyFont="1" applyFill="1" applyBorder="1" applyAlignment="1">
      <alignment horizontal="right"/>
    </xf>
    <xf numFmtId="43" fontId="10" fillId="10" borderId="31" xfId="4" applyNumberFormat="1" applyFont="1" applyFill="1" applyBorder="1" applyAlignment="1">
      <alignment horizontal="right"/>
    </xf>
    <xf numFmtId="43" fontId="10" fillId="10" borderId="12" xfId="4" applyNumberFormat="1" applyFont="1" applyFill="1" applyBorder="1" applyAlignment="1">
      <alignment horizontal="right"/>
    </xf>
    <xf numFmtId="166" fontId="13" fillId="0" borderId="29" xfId="4" applyFont="1" applyFill="1" applyBorder="1" applyAlignment="1">
      <alignment horizontal="right"/>
    </xf>
    <xf numFmtId="0" fontId="4" fillId="0" borderId="0" xfId="3" applyFont="1" applyFill="1" applyAlignment="1">
      <alignment horizontal="right"/>
    </xf>
    <xf numFmtId="0" fontId="4" fillId="12" borderId="0" xfId="3" applyFont="1" applyFill="1" applyAlignment="1">
      <alignment horizontal="right"/>
    </xf>
    <xf numFmtId="2" fontId="10" fillId="10" borderId="30" xfId="4" applyNumberFormat="1" applyFont="1" applyFill="1" applyBorder="1"/>
    <xf numFmtId="2" fontId="10" fillId="10" borderId="0" xfId="4" applyNumberFormat="1" applyFont="1" applyFill="1" applyBorder="1"/>
    <xf numFmtId="2" fontId="10" fillId="10" borderId="31" xfId="4" applyNumberFormat="1" applyFont="1" applyFill="1" applyBorder="1"/>
    <xf numFmtId="2" fontId="10" fillId="10" borderId="12" xfId="4" applyNumberFormat="1" applyFont="1" applyFill="1" applyBorder="1"/>
    <xf numFmtId="43" fontId="13" fillId="0" borderId="29" xfId="4" applyNumberFormat="1" applyFont="1" applyFill="1" applyBorder="1"/>
    <xf numFmtId="166" fontId="4" fillId="13" borderId="30" xfId="4" applyFont="1" applyFill="1" applyBorder="1"/>
    <xf numFmtId="166" fontId="4" fillId="11" borderId="30" xfId="4" applyFont="1" applyFill="1" applyBorder="1"/>
    <xf numFmtId="166" fontId="4" fillId="11" borderId="0" xfId="4" applyFont="1" applyFill="1" applyBorder="1"/>
    <xf numFmtId="166" fontId="4" fillId="11" borderId="31" xfId="4" applyFont="1" applyFill="1" applyBorder="1"/>
    <xf numFmtId="166" fontId="4" fillId="11" borderId="12" xfId="4" applyFont="1" applyFill="1" applyBorder="1"/>
    <xf numFmtId="166" fontId="4" fillId="0" borderId="0" xfId="4" applyFont="1" applyFill="1" applyBorder="1"/>
    <xf numFmtId="166" fontId="4" fillId="0" borderId="0" xfId="4" applyFont="1" applyBorder="1"/>
    <xf numFmtId="166" fontId="4" fillId="0" borderId="30" xfId="4" applyFont="1" applyBorder="1"/>
    <xf numFmtId="166" fontId="4" fillId="0" borderId="31" xfId="4" applyFont="1" applyBorder="1"/>
    <xf numFmtId="166" fontId="4" fillId="0" borderId="12" xfId="4" applyFont="1" applyBorder="1"/>
    <xf numFmtId="166" fontId="4" fillId="0" borderId="29" xfId="4" applyFont="1" applyFill="1" applyBorder="1"/>
    <xf numFmtId="0" fontId="4" fillId="0" borderId="30" xfId="4" applyNumberFormat="1" applyFont="1" applyBorder="1" applyAlignment="1">
      <alignment horizontal="left"/>
    </xf>
    <xf numFmtId="166" fontId="4" fillId="9" borderId="30" xfId="4" applyFont="1" applyFill="1" applyBorder="1"/>
    <xf numFmtId="166" fontId="4" fillId="9" borderId="0" xfId="4" applyFont="1" applyFill="1" applyBorder="1"/>
    <xf numFmtId="166" fontId="4" fillId="9" borderId="31" xfId="4" applyFont="1" applyFill="1" applyBorder="1"/>
    <xf numFmtId="166" fontId="4" fillId="9" borderId="12" xfId="4" applyFont="1" applyFill="1" applyBorder="1"/>
    <xf numFmtId="166" fontId="4" fillId="9" borderId="29" xfId="4" applyFont="1" applyFill="1" applyBorder="1"/>
    <xf numFmtId="166" fontId="10" fillId="9" borderId="29" xfId="4" applyFont="1" applyFill="1" applyBorder="1"/>
    <xf numFmtId="166" fontId="13" fillId="0" borderId="30" xfId="4" applyFont="1" applyBorder="1"/>
    <xf numFmtId="166" fontId="10" fillId="0" borderId="29" xfId="4" applyFont="1" applyFill="1" applyBorder="1"/>
    <xf numFmtId="166" fontId="4" fillId="0" borderId="30" xfId="4" applyFont="1" applyFill="1" applyBorder="1"/>
    <xf numFmtId="166" fontId="10" fillId="0" borderId="28" xfId="4" applyFont="1" applyBorder="1"/>
    <xf numFmtId="0" fontId="10" fillId="0" borderId="35" xfId="3" applyFont="1" applyBorder="1"/>
    <xf numFmtId="166" fontId="10" fillId="0" borderId="32" xfId="4" applyFont="1" applyBorder="1"/>
    <xf numFmtId="166" fontId="10" fillId="0" borderId="1" xfId="4" applyFont="1" applyBorder="1"/>
    <xf numFmtId="166" fontId="10" fillId="0" borderId="33" xfId="4" applyFont="1" applyBorder="1"/>
    <xf numFmtId="0" fontId="10" fillId="0" borderId="0" xfId="3" applyFont="1"/>
    <xf numFmtId="0" fontId="10" fillId="0" borderId="30" xfId="3" applyFont="1" applyBorder="1"/>
    <xf numFmtId="166" fontId="10" fillId="0" borderId="30" xfId="4" applyFont="1" applyBorder="1"/>
    <xf numFmtId="166" fontId="10" fillId="0" borderId="0" xfId="4" applyFont="1" applyBorder="1"/>
    <xf numFmtId="166" fontId="10" fillId="0" borderId="31" xfId="4" applyFont="1" applyBorder="1"/>
    <xf numFmtId="166" fontId="10" fillId="0" borderId="0" xfId="4" applyFont="1" applyFill="1" applyBorder="1"/>
    <xf numFmtId="0" fontId="13" fillId="13" borderId="30" xfId="5" applyNumberFormat="1" applyFont="1" applyFill="1" applyBorder="1"/>
    <xf numFmtId="0" fontId="4" fillId="13" borderId="30" xfId="5" applyFont="1" applyFill="1" applyBorder="1"/>
    <xf numFmtId="0" fontId="4" fillId="13" borderId="0" xfId="5" applyFont="1" applyFill="1" applyBorder="1"/>
    <xf numFmtId="0" fontId="4" fillId="13" borderId="31" xfId="5" applyFont="1" applyFill="1" applyBorder="1"/>
    <xf numFmtId="0" fontId="4" fillId="0" borderId="0" xfId="5" applyFont="1" applyFill="1" applyBorder="1"/>
    <xf numFmtId="0" fontId="13" fillId="14" borderId="30" xfId="5" applyNumberFormat="1" applyFont="1" applyFill="1" applyBorder="1"/>
    <xf numFmtId="0" fontId="4" fillId="14" borderId="30" xfId="5" applyFont="1" applyFill="1" applyBorder="1"/>
    <xf numFmtId="0" fontId="4" fillId="14" borderId="0" xfId="5" applyFont="1" applyFill="1" applyBorder="1"/>
    <xf numFmtId="0" fontId="4" fillId="14" borderId="31" xfId="5" applyFont="1" applyFill="1" applyBorder="1"/>
    <xf numFmtId="166" fontId="4" fillId="10" borderId="30" xfId="4" applyFont="1" applyFill="1" applyBorder="1"/>
    <xf numFmtId="166" fontId="4" fillId="10" borderId="0" xfId="4" applyFont="1" applyFill="1" applyBorder="1"/>
    <xf numFmtId="166" fontId="4" fillId="10" borderId="31" xfId="4" applyFont="1" applyFill="1" applyBorder="1"/>
    <xf numFmtId="10" fontId="4" fillId="13" borderId="30" xfId="4" applyNumberFormat="1" applyFont="1" applyFill="1" applyBorder="1"/>
    <xf numFmtId="10" fontId="4" fillId="13" borderId="0" xfId="4" applyNumberFormat="1" applyFont="1" applyFill="1" applyBorder="1"/>
    <xf numFmtId="10" fontId="4" fillId="13" borderId="31" xfId="4" applyNumberFormat="1" applyFont="1" applyFill="1" applyBorder="1"/>
    <xf numFmtId="10" fontId="4" fillId="0" borderId="0" xfId="4" applyNumberFormat="1" applyFont="1" applyFill="1" applyBorder="1"/>
    <xf numFmtId="166" fontId="11" fillId="0" borderId="30" xfId="4" applyFont="1" applyBorder="1"/>
    <xf numFmtId="0" fontId="13" fillId="0" borderId="30" xfId="5" applyNumberFormat="1" applyFont="1" applyBorder="1"/>
    <xf numFmtId="167" fontId="4" fillId="0" borderId="30" xfId="5" applyNumberFormat="1" applyFont="1" applyBorder="1"/>
    <xf numFmtId="167" fontId="4" fillId="0" borderId="0" xfId="5" applyNumberFormat="1" applyFont="1" applyBorder="1"/>
    <xf numFmtId="167" fontId="4" fillId="0" borderId="31" xfId="5" applyNumberFormat="1" applyFont="1" applyBorder="1"/>
    <xf numFmtId="167" fontId="4" fillId="0" borderId="0" xfId="5" applyNumberFormat="1" applyFont="1" applyFill="1" applyBorder="1"/>
    <xf numFmtId="0" fontId="4" fillId="13" borderId="30" xfId="5" applyNumberFormat="1" applyFont="1" applyFill="1" applyBorder="1"/>
    <xf numFmtId="167" fontId="4" fillId="13" borderId="30" xfId="5" applyNumberFormat="1" applyFont="1" applyFill="1" applyBorder="1"/>
    <xf numFmtId="167" fontId="4" fillId="13" borderId="0" xfId="5" applyNumberFormat="1" applyFont="1" applyFill="1" applyBorder="1"/>
    <xf numFmtId="167" fontId="4" fillId="13" borderId="31" xfId="5" applyNumberFormat="1" applyFont="1" applyFill="1" applyBorder="1"/>
    <xf numFmtId="0" fontId="4" fillId="0" borderId="0" xfId="3" applyFont="1" applyFill="1"/>
    <xf numFmtId="165" fontId="4" fillId="13" borderId="30" xfId="2" applyNumberFormat="1" applyFont="1" applyFill="1" applyBorder="1"/>
    <xf numFmtId="165" fontId="4" fillId="13" borderId="0" xfId="2" applyNumberFormat="1" applyFont="1" applyFill="1" applyBorder="1"/>
    <xf numFmtId="165" fontId="4" fillId="13" borderId="31" xfId="2" applyNumberFormat="1" applyFont="1" applyFill="1" applyBorder="1"/>
    <xf numFmtId="0" fontId="4" fillId="0" borderId="30" xfId="5" applyNumberFormat="1" applyFont="1" applyFill="1" applyBorder="1"/>
    <xf numFmtId="167" fontId="4" fillId="0" borderId="30" xfId="5" applyNumberFormat="1" applyFont="1" applyFill="1" applyBorder="1"/>
    <xf numFmtId="167" fontId="4" fillId="0" borderId="31" xfId="5" applyNumberFormat="1" applyFont="1" applyFill="1" applyBorder="1"/>
    <xf numFmtId="0" fontId="10" fillId="0" borderId="30" xfId="5" applyFont="1" applyFill="1" applyBorder="1"/>
    <xf numFmtId="0" fontId="4" fillId="0" borderId="30" xfId="5" applyFont="1" applyFill="1" applyBorder="1"/>
    <xf numFmtId="0" fontId="4" fillId="0" borderId="31" xfId="5" applyFont="1" applyFill="1" applyBorder="1"/>
    <xf numFmtId="0" fontId="13" fillId="15" borderId="30" xfId="4" applyNumberFormat="1" applyFont="1" applyFill="1" applyBorder="1" applyAlignment="1"/>
    <xf numFmtId="165" fontId="4" fillId="0" borderId="0" xfId="2" applyNumberFormat="1" applyFont="1" applyFill="1" applyBorder="1"/>
    <xf numFmtId="0" fontId="13" fillId="0" borderId="30" xfId="4" applyNumberFormat="1" applyFont="1" applyFill="1" applyBorder="1" applyAlignment="1"/>
    <xf numFmtId="168" fontId="4" fillId="0" borderId="30" xfId="5" applyNumberFormat="1" applyFont="1" applyFill="1" applyBorder="1"/>
    <xf numFmtId="168" fontId="4" fillId="0" borderId="0" xfId="5" applyNumberFormat="1" applyFont="1" applyFill="1" applyBorder="1"/>
    <xf numFmtId="168" fontId="4" fillId="0" borderId="31" xfId="5" applyNumberFormat="1" applyFont="1" applyFill="1" applyBorder="1"/>
    <xf numFmtId="0" fontId="4" fillId="0" borderId="30" xfId="4" applyNumberFormat="1" applyFont="1" applyFill="1" applyBorder="1" applyAlignment="1"/>
    <xf numFmtId="169" fontId="4" fillId="0" borderId="30" xfId="2" applyNumberFormat="1" applyFont="1" applyFill="1" applyBorder="1"/>
    <xf numFmtId="169" fontId="4" fillId="0" borderId="0" xfId="2" applyNumberFormat="1" applyFont="1" applyFill="1" applyBorder="1"/>
    <xf numFmtId="169" fontId="4" fillId="0" borderId="31" xfId="2" applyNumberFormat="1" applyFont="1" applyFill="1" applyBorder="1"/>
    <xf numFmtId="168" fontId="4" fillId="15" borderId="36" xfId="5" applyNumberFormat="1" applyFont="1" applyFill="1" applyBorder="1"/>
    <xf numFmtId="168" fontId="4" fillId="15" borderId="2" xfId="5" applyNumberFormat="1" applyFont="1" applyFill="1" applyBorder="1"/>
    <xf numFmtId="168" fontId="4" fillId="15" borderId="37" xfId="5" applyNumberFormat="1" applyFont="1" applyFill="1" applyBorder="1"/>
    <xf numFmtId="0" fontId="4" fillId="0" borderId="39" xfId="3" applyFont="1" applyBorder="1"/>
    <xf numFmtId="0" fontId="4" fillId="0" borderId="9" xfId="3" applyFont="1" applyBorder="1"/>
    <xf numFmtId="0" fontId="4" fillId="0" borderId="0" xfId="3" applyFont="1" applyBorder="1"/>
    <xf numFmtId="9" fontId="4" fillId="0" borderId="0" xfId="5" applyNumberFormat="1" applyFont="1" applyFill="1" applyBorder="1"/>
    <xf numFmtId="0" fontId="13" fillId="0" borderId="0" xfId="3" applyFont="1"/>
    <xf numFmtId="0" fontId="4" fillId="0" borderId="30" xfId="3" applyFont="1" applyBorder="1"/>
    <xf numFmtId="0" fontId="4" fillId="0" borderId="31" xfId="3" applyFont="1" applyBorder="1"/>
    <xf numFmtId="0" fontId="4" fillId="0" borderId="0" xfId="3" applyFont="1" applyFill="1" applyBorder="1"/>
    <xf numFmtId="6" fontId="4" fillId="0" borderId="30" xfId="3" applyNumberFormat="1" applyFont="1" applyBorder="1"/>
    <xf numFmtId="6" fontId="4" fillId="0" borderId="0" xfId="3" applyNumberFormat="1" applyFont="1" applyBorder="1"/>
    <xf numFmtId="6" fontId="4" fillId="0" borderId="31" xfId="3" applyNumberFormat="1" applyFont="1" applyBorder="1"/>
    <xf numFmtId="0" fontId="13" fillId="14" borderId="0" xfId="3" applyFont="1" applyFill="1"/>
    <xf numFmtId="166" fontId="4" fillId="14" borderId="2" xfId="4" applyFont="1" applyFill="1" applyBorder="1"/>
    <xf numFmtId="166" fontId="10" fillId="16" borderId="34" xfId="4" applyFont="1" applyFill="1" applyBorder="1"/>
    <xf numFmtId="166" fontId="10" fillId="16" borderId="29" xfId="4" applyFont="1" applyFill="1" applyBorder="1"/>
    <xf numFmtId="166" fontId="4" fillId="0" borderId="0" xfId="5" applyNumberFormat="1" applyFont="1" applyFill="1" applyBorder="1"/>
    <xf numFmtId="0" fontId="14" fillId="0" borderId="0" xfId="0" applyFont="1"/>
    <xf numFmtId="165" fontId="15" fillId="0" borderId="0" xfId="2" applyNumberFormat="1" applyFont="1"/>
    <xf numFmtId="0" fontId="15" fillId="0" borderId="0" xfId="0" applyFont="1"/>
    <xf numFmtId="0" fontId="14" fillId="5" borderId="0" xfId="0" applyFont="1" applyFill="1"/>
    <xf numFmtId="165" fontId="15" fillId="5" borderId="0" xfId="2" applyNumberFormat="1" applyFont="1" applyFill="1"/>
    <xf numFmtId="0" fontId="15" fillId="5" borderId="0" xfId="0" applyFont="1" applyFill="1"/>
    <xf numFmtId="0" fontId="14" fillId="5" borderId="3" xfId="0" applyFont="1" applyFill="1" applyBorder="1"/>
    <xf numFmtId="165" fontId="14" fillId="5" borderId="3" xfId="2" applyNumberFormat="1" applyFont="1" applyFill="1" applyBorder="1"/>
    <xf numFmtId="0" fontId="14" fillId="0" borderId="4" xfId="0" applyFont="1" applyFill="1" applyBorder="1"/>
    <xf numFmtId="165" fontId="14" fillId="0" borderId="6" xfId="2" applyNumberFormat="1" applyFont="1" applyFill="1" applyBorder="1"/>
    <xf numFmtId="0" fontId="15" fillId="0" borderId="0" xfId="0" applyFont="1" applyFill="1"/>
    <xf numFmtId="0" fontId="16" fillId="0" borderId="4" xfId="0" applyFont="1" applyFill="1" applyBorder="1"/>
    <xf numFmtId="0" fontId="17" fillId="0" borderId="5" xfId="0" applyFont="1" applyFill="1" applyBorder="1"/>
    <xf numFmtId="165" fontId="17" fillId="0" borderId="5" xfId="2" applyNumberFormat="1" applyFont="1" applyFill="1" applyBorder="1"/>
    <xf numFmtId="9" fontId="17" fillId="0" borderId="6" xfId="1" applyFont="1" applyFill="1" applyBorder="1"/>
    <xf numFmtId="165" fontId="17" fillId="0" borderId="6" xfId="2" applyNumberFormat="1" applyFont="1" applyFill="1" applyBorder="1"/>
    <xf numFmtId="0" fontId="14" fillId="0" borderId="0" xfId="0" applyFont="1" applyFill="1" applyBorder="1"/>
    <xf numFmtId="165" fontId="14" fillId="0" borderId="0" xfId="2" applyNumberFormat="1" applyFont="1" applyFill="1" applyBorder="1"/>
    <xf numFmtId="0" fontId="14" fillId="4" borderId="0" xfId="0" applyFont="1" applyFill="1"/>
    <xf numFmtId="165" fontId="15" fillId="4" borderId="0" xfId="2" applyNumberFormat="1" applyFont="1" applyFill="1"/>
    <xf numFmtId="0" fontId="15" fillId="4" borderId="0" xfId="0" applyFont="1" applyFill="1"/>
    <xf numFmtId="165" fontId="14" fillId="4" borderId="0" xfId="2" applyNumberFormat="1" applyFont="1" applyFill="1"/>
    <xf numFmtId="0" fontId="14" fillId="4" borderId="1" xfId="0" applyFont="1" applyFill="1" applyBorder="1"/>
    <xf numFmtId="165" fontId="14" fillId="4" borderId="1" xfId="2" applyNumberFormat="1" applyFont="1" applyFill="1" applyBorder="1"/>
    <xf numFmtId="0" fontId="14" fillId="2" borderId="0" xfId="0" applyFont="1" applyFill="1"/>
    <xf numFmtId="165" fontId="15" fillId="2" borderId="0" xfId="2" applyNumberFormat="1" applyFont="1" applyFill="1"/>
    <xf numFmtId="0" fontId="14" fillId="6" borderId="0" xfId="0" applyFont="1" applyFill="1"/>
    <xf numFmtId="0" fontId="15" fillId="6" borderId="0" xfId="0" applyFont="1" applyFill="1"/>
    <xf numFmtId="165" fontId="15" fillId="6" borderId="0" xfId="2" applyNumberFormat="1" applyFont="1" applyFill="1"/>
    <xf numFmtId="0" fontId="15" fillId="2" borderId="0" xfId="0" applyFont="1" applyFill="1"/>
    <xf numFmtId="9" fontId="15" fillId="6" borderId="0" xfId="1" applyFont="1" applyFill="1"/>
    <xf numFmtId="1" fontId="15" fillId="6" borderId="0" xfId="0" applyNumberFormat="1" applyFont="1" applyFill="1"/>
    <xf numFmtId="0" fontId="15" fillId="2" borderId="1" xfId="0" applyFont="1" applyFill="1" applyBorder="1"/>
    <xf numFmtId="0" fontId="15" fillId="6" borderId="2" xfId="0" applyFont="1" applyFill="1" applyBorder="1"/>
    <xf numFmtId="165" fontId="15" fillId="6" borderId="2" xfId="2" applyNumberFormat="1" applyFont="1" applyFill="1" applyBorder="1"/>
    <xf numFmtId="165" fontId="15" fillId="0" borderId="0" xfId="2" applyNumberFormat="1" applyFont="1" applyFill="1"/>
    <xf numFmtId="0" fontId="14" fillId="7" borderId="0" xfId="0" applyFont="1" applyFill="1" applyBorder="1"/>
    <xf numFmtId="165" fontId="15" fillId="7" borderId="0" xfId="2" applyNumberFormat="1" applyFont="1" applyFill="1"/>
    <xf numFmtId="0" fontId="15" fillId="7" borderId="0" xfId="0" applyFont="1" applyFill="1"/>
    <xf numFmtId="0" fontId="15" fillId="7" borderId="1" xfId="0" applyFont="1" applyFill="1" applyBorder="1"/>
    <xf numFmtId="0" fontId="14" fillId="3" borderId="0" xfId="0" applyFont="1" applyFill="1"/>
    <xf numFmtId="165" fontId="14" fillId="3" borderId="0" xfId="2" applyNumberFormat="1" applyFont="1" applyFill="1"/>
    <xf numFmtId="0" fontId="15" fillId="3" borderId="0" xfId="0" applyFont="1" applyFill="1"/>
    <xf numFmtId="165" fontId="15" fillId="3" borderId="0" xfId="2" applyNumberFormat="1" applyFont="1" applyFill="1"/>
    <xf numFmtId="0" fontId="14" fillId="3" borderId="1" xfId="0" applyFont="1" applyFill="1" applyBorder="1"/>
    <xf numFmtId="165" fontId="14" fillId="3" borderId="1" xfId="2" applyNumberFormat="1" applyFont="1" applyFill="1" applyBorder="1"/>
    <xf numFmtId="0" fontId="15" fillId="0" borderId="0" xfId="0" applyFont="1" applyBorder="1"/>
    <xf numFmtId="165" fontId="15" fillId="0" borderId="0" xfId="2" applyNumberFormat="1" applyFont="1" applyBorder="1"/>
    <xf numFmtId="0" fontId="14" fillId="0" borderId="0" xfId="0" applyFont="1" applyBorder="1"/>
    <xf numFmtId="165" fontId="14" fillId="0" borderId="0" xfId="2" applyNumberFormat="1" applyFont="1" applyBorder="1"/>
    <xf numFmtId="166" fontId="4" fillId="0" borderId="30" xfId="4" applyFont="1" applyFill="1" applyBorder="1" applyAlignment="1"/>
    <xf numFmtId="165" fontId="10" fillId="0" borderId="0" xfId="2" applyNumberFormat="1" applyFont="1" applyAlignment="1">
      <alignment horizontal="center" vertical="center"/>
    </xf>
    <xf numFmtId="165" fontId="16" fillId="0" borderId="0" xfId="2" applyNumberFormat="1" applyFont="1" applyAlignment="1">
      <alignment horizontal="center" vertical="center"/>
    </xf>
    <xf numFmtId="3" fontId="15" fillId="6" borderId="0" xfId="0" applyNumberFormat="1" applyFont="1" applyFill="1"/>
    <xf numFmtId="165" fontId="15" fillId="6" borderId="0" xfId="0" applyNumberFormat="1" applyFont="1" applyFill="1"/>
    <xf numFmtId="166" fontId="4" fillId="0" borderId="15" xfId="4" applyFont="1" applyFill="1" applyBorder="1"/>
    <xf numFmtId="166" fontId="4" fillId="0" borderId="11" xfId="4" applyFont="1" applyFill="1" applyBorder="1"/>
    <xf numFmtId="166" fontId="4" fillId="0" borderId="13" xfId="4" applyFont="1" applyFill="1" applyBorder="1"/>
    <xf numFmtId="0" fontId="4" fillId="0" borderId="29" xfId="3" applyFont="1" applyBorder="1"/>
    <xf numFmtId="166" fontId="4" fillId="0" borderId="29" xfId="3" applyNumberFormat="1" applyFont="1" applyBorder="1"/>
    <xf numFmtId="166" fontId="4" fillId="0" borderId="28" xfId="3" applyNumberFormat="1" applyFont="1" applyBorder="1"/>
    <xf numFmtId="166" fontId="10" fillId="16" borderId="13" xfId="4" applyFont="1" applyFill="1" applyBorder="1"/>
    <xf numFmtId="166" fontId="10" fillId="16" borderId="28" xfId="3" applyNumberFormat="1" applyFont="1" applyFill="1" applyBorder="1"/>
    <xf numFmtId="166" fontId="10" fillId="16" borderId="11" xfId="4" applyFont="1" applyFill="1" applyBorder="1"/>
    <xf numFmtId="166" fontId="10" fillId="16" borderId="40" xfId="4" applyFont="1" applyFill="1" applyBorder="1"/>
    <xf numFmtId="166" fontId="10" fillId="16" borderId="30" xfId="4" applyFont="1" applyFill="1" applyBorder="1"/>
    <xf numFmtId="166" fontId="10" fillId="16" borderId="32" xfId="4" applyFont="1" applyFill="1" applyBorder="1"/>
    <xf numFmtId="166" fontId="10" fillId="16" borderId="1" xfId="4" applyFont="1" applyFill="1" applyBorder="1"/>
    <xf numFmtId="166" fontId="10" fillId="16" borderId="33" xfId="4" applyFont="1" applyFill="1" applyBorder="1"/>
    <xf numFmtId="166" fontId="10" fillId="16" borderId="14" xfId="4" applyFont="1" applyFill="1" applyBorder="1"/>
    <xf numFmtId="166" fontId="10" fillId="16" borderId="29" xfId="3" applyNumberFormat="1" applyFont="1" applyFill="1" applyBorder="1"/>
    <xf numFmtId="166" fontId="10" fillId="0" borderId="0" xfId="3" applyNumberFormat="1" applyFont="1"/>
    <xf numFmtId="166" fontId="10" fillId="16" borderId="0" xfId="4" applyFont="1" applyFill="1" applyBorder="1"/>
    <xf numFmtId="166" fontId="10" fillId="16" borderId="31" xfId="4" applyFont="1" applyFill="1" applyBorder="1"/>
    <xf numFmtId="166" fontId="10" fillId="16" borderId="12" xfId="4" applyFont="1" applyFill="1" applyBorder="1"/>
    <xf numFmtId="0" fontId="18" fillId="0" borderId="0" xfId="0" applyFont="1"/>
    <xf numFmtId="166" fontId="4" fillId="0" borderId="31" xfId="4" applyFont="1" applyFill="1" applyBorder="1"/>
    <xf numFmtId="166" fontId="4" fillId="0" borderId="12" xfId="4" applyFont="1" applyFill="1" applyBorder="1"/>
    <xf numFmtId="0" fontId="0" fillId="0" borderId="0" xfId="0" applyAlignment="1">
      <alignment wrapText="1"/>
    </xf>
    <xf numFmtId="0" fontId="0" fillId="0" borderId="0" xfId="0" applyFont="1"/>
    <xf numFmtId="166" fontId="4" fillId="0" borderId="0" xfId="4" applyNumberFormat="1" applyFont="1" applyFill="1" applyBorder="1" applyAlignment="1"/>
    <xf numFmtId="166" fontId="10" fillId="0" borderId="29" xfId="4" applyFont="1" applyFill="1" applyBorder="1" applyAlignment="1">
      <alignment horizontal="center"/>
    </xf>
    <xf numFmtId="0" fontId="10" fillId="0" borderId="29" xfId="3" applyFont="1" applyBorder="1" applyAlignment="1">
      <alignment horizontal="center" wrapText="1"/>
    </xf>
    <xf numFmtId="43" fontId="15" fillId="0" borderId="0" xfId="0" applyNumberFormat="1" applyFont="1" applyFill="1"/>
    <xf numFmtId="2" fontId="15" fillId="0" borderId="0" xfId="0" applyNumberFormat="1" applyFont="1" applyFill="1"/>
    <xf numFmtId="43" fontId="15" fillId="0" borderId="0" xfId="0" applyNumberFormat="1" applyFont="1" applyFill="1" applyAlignment="1">
      <alignment horizontal="center"/>
    </xf>
    <xf numFmtId="165" fontId="0" fillId="0" borderId="0" xfId="0" applyNumberFormat="1"/>
    <xf numFmtId="165" fontId="2" fillId="0" borderId="0" xfId="0" applyNumberFormat="1" applyFont="1"/>
    <xf numFmtId="0" fontId="4" fillId="0" borderId="42" xfId="4" applyNumberFormat="1" applyFont="1" applyFill="1" applyBorder="1" applyAlignment="1"/>
    <xf numFmtId="166" fontId="4" fillId="0" borderId="42" xfId="4" applyFont="1" applyFill="1" applyBorder="1"/>
    <xf numFmtId="166" fontId="10" fillId="6" borderId="17" xfId="3" applyNumberFormat="1" applyFont="1" applyFill="1" applyBorder="1"/>
    <xf numFmtId="166" fontId="10" fillId="16" borderId="34" xfId="3" applyNumberFormat="1" applyFont="1" applyFill="1" applyBorder="1"/>
    <xf numFmtId="166" fontId="4" fillId="16" borderId="29" xfId="4" applyFont="1" applyFill="1" applyBorder="1"/>
    <xf numFmtId="0" fontId="4" fillId="6" borderId="41" xfId="3" applyFont="1" applyFill="1" applyBorder="1"/>
    <xf numFmtId="165" fontId="14" fillId="5" borderId="2" xfId="2" applyNumberFormat="1" applyFont="1" applyFill="1" applyBorder="1"/>
    <xf numFmtId="165" fontId="15" fillId="5" borderId="0" xfId="0" applyNumberFormat="1" applyFont="1" applyFill="1"/>
    <xf numFmtId="165" fontId="14" fillId="0" borderId="41" xfId="2" applyNumberFormat="1" applyFont="1" applyFill="1" applyBorder="1"/>
    <xf numFmtId="165" fontId="14" fillId="0" borderId="43" xfId="2" applyNumberFormat="1" applyFont="1" applyFill="1" applyBorder="1"/>
    <xf numFmtId="0" fontId="19" fillId="0" borderId="0" xfId="0" applyFont="1"/>
    <xf numFmtId="0" fontId="13" fillId="0" borderId="0" xfId="3" applyFont="1" applyFill="1" applyBorder="1" applyAlignment="1">
      <alignment horizontal="center" vertical="top" wrapText="1"/>
    </xf>
    <xf numFmtId="0" fontId="20" fillId="0" borderId="0" xfId="3" applyFont="1" applyFill="1" applyBorder="1" applyAlignment="1">
      <alignment horizontal="center" vertical="top" wrapText="1"/>
    </xf>
    <xf numFmtId="165" fontId="14" fillId="5" borderId="2" xfId="0" applyNumberFormat="1" applyFont="1" applyFill="1" applyBorder="1"/>
    <xf numFmtId="165" fontId="14" fillId="0" borderId="0" xfId="2" applyNumberFormat="1" applyFont="1"/>
    <xf numFmtId="9" fontId="15" fillId="0" borderId="0" xfId="0" applyNumberFormat="1" applyFont="1" applyFill="1" applyBorder="1"/>
    <xf numFmtId="0" fontId="15" fillId="0" borderId="0" xfId="0" applyFont="1" applyFill="1" applyBorder="1"/>
    <xf numFmtId="0" fontId="15" fillId="0" borderId="41" xfId="0" applyFont="1" applyFill="1" applyBorder="1"/>
    <xf numFmtId="9" fontId="15" fillId="0" borderId="41" xfId="0" applyNumberFormat="1" applyFont="1" applyFill="1" applyBorder="1"/>
    <xf numFmtId="165" fontId="16" fillId="0" borderId="0" xfId="2" applyNumberFormat="1" applyFont="1" applyAlignment="1">
      <alignment horizontal="center" vertical="center" wrapText="1"/>
    </xf>
    <xf numFmtId="0" fontId="0" fillId="5" borderId="0" xfId="0" applyFill="1"/>
    <xf numFmtId="165" fontId="14" fillId="0" borderId="45" xfId="2" applyNumberFormat="1" applyFont="1" applyFill="1" applyBorder="1"/>
    <xf numFmtId="165" fontId="14" fillId="2" borderId="1" xfId="2" applyNumberFormat="1" applyFont="1" applyFill="1" applyBorder="1"/>
    <xf numFmtId="165" fontId="14" fillId="7" borderId="1" xfId="2" applyNumberFormat="1" applyFont="1" applyFill="1" applyBorder="1"/>
    <xf numFmtId="0" fontId="14" fillId="0" borderId="0" xfId="0" applyFont="1" applyAlignment="1">
      <alignment vertical="center"/>
    </xf>
    <xf numFmtId="165" fontId="15" fillId="17" borderId="0" xfId="2" applyNumberFormat="1" applyFont="1" applyFill="1"/>
    <xf numFmtId="0" fontId="15" fillId="17" borderId="0" xfId="0" applyFont="1" applyFill="1"/>
    <xf numFmtId="0" fontId="2" fillId="0" borderId="0" xfId="0" applyFont="1" applyBorder="1"/>
    <xf numFmtId="0" fontId="0" fillId="0" borderId="0" xfId="0" applyBorder="1"/>
    <xf numFmtId="6" fontId="2" fillId="0" borderId="0" xfId="0" applyNumberFormat="1" applyFont="1"/>
    <xf numFmtId="0" fontId="0" fillId="0" borderId="0" xfId="0" applyFill="1" applyBorder="1"/>
    <xf numFmtId="3" fontId="2" fillId="0" borderId="46" xfId="0" applyNumberFormat="1" applyFont="1" applyBorder="1"/>
    <xf numFmtId="0" fontId="0" fillId="0" borderId="46" xfId="0" applyFont="1" applyBorder="1"/>
    <xf numFmtId="3" fontId="0" fillId="0" borderId="46" xfId="0" applyNumberFormat="1" applyFont="1" applyBorder="1"/>
    <xf numFmtId="0" fontId="0" fillId="0" borderId="0" xfId="0" applyFont="1" applyBorder="1"/>
    <xf numFmtId="3" fontId="22" fillId="0" borderId="46" xfId="0" applyNumberFormat="1" applyFont="1" applyBorder="1" applyAlignment="1" applyProtection="1">
      <alignment vertical="center"/>
      <protection locked="0"/>
    </xf>
    <xf numFmtId="0" fontId="22" fillId="0" borderId="46" xfId="0" applyFont="1" applyBorder="1" applyAlignment="1">
      <alignment horizontal="right"/>
    </xf>
    <xf numFmtId="0" fontId="21" fillId="0" borderId="46" xfId="0" applyFont="1" applyBorder="1" applyAlignment="1">
      <alignment horizontal="right"/>
    </xf>
    <xf numFmtId="0" fontId="22" fillId="0" borderId="46" xfId="0" applyFont="1" applyBorder="1" applyAlignment="1" applyProtection="1">
      <alignment vertical="center"/>
      <protection locked="0"/>
    </xf>
    <xf numFmtId="0" fontId="21" fillId="0" borderId="46" xfId="0" applyFont="1" applyFill="1" applyBorder="1" applyAlignment="1" applyProtection="1">
      <alignment vertical="center"/>
      <protection locked="0"/>
    </xf>
    <xf numFmtId="0" fontId="22" fillId="0" borderId="46" xfId="0" applyFont="1" applyFill="1" applyBorder="1" applyAlignment="1" applyProtection="1">
      <alignment vertical="center"/>
      <protection locked="0"/>
    </xf>
    <xf numFmtId="3" fontId="21" fillId="0" borderId="46" xfId="0" applyNumberFormat="1" applyFont="1" applyFill="1" applyBorder="1" applyAlignment="1" applyProtection="1">
      <alignment horizontal="right" vertical="center"/>
      <protection locked="0"/>
    </xf>
    <xf numFmtId="3" fontId="2" fillId="0" borderId="47" xfId="0" applyNumberFormat="1" applyFont="1" applyBorder="1"/>
    <xf numFmtId="0" fontId="22" fillId="0" borderId="46" xfId="0" applyFont="1" applyBorder="1"/>
    <xf numFmtId="0" fontId="21" fillId="0" borderId="46" xfId="0" applyFont="1" applyBorder="1"/>
    <xf numFmtId="165" fontId="23" fillId="8" borderId="46" xfId="2" applyNumberFormat="1" applyFont="1" applyFill="1" applyBorder="1" applyAlignment="1">
      <alignment horizontal="center" vertical="center" wrapText="1"/>
    </xf>
    <xf numFmtId="0" fontId="2" fillId="8" borderId="46" xfId="0" applyFont="1" applyFill="1" applyBorder="1" applyAlignment="1">
      <alignment wrapText="1"/>
    </xf>
    <xf numFmtId="0" fontId="2" fillId="8" borderId="46" xfId="0" applyFont="1" applyFill="1" applyBorder="1" applyAlignment="1">
      <alignment horizontal="left" vertical="center"/>
    </xf>
    <xf numFmtId="0" fontId="21" fillId="18" borderId="46" xfId="0" applyFont="1" applyFill="1" applyBorder="1" applyAlignment="1">
      <alignment vertical="center"/>
    </xf>
    <xf numFmtId="0" fontId="21" fillId="18" borderId="46" xfId="0" applyFont="1" applyFill="1" applyBorder="1" applyAlignment="1">
      <alignment horizontal="right" vertical="center"/>
    </xf>
    <xf numFmtId="168" fontId="4" fillId="15" borderId="0" xfId="5" applyNumberFormat="1" applyFont="1" applyFill="1" applyBorder="1"/>
    <xf numFmtId="166" fontId="4" fillId="14" borderId="0" xfId="4" applyFont="1" applyFill="1" applyBorder="1"/>
    <xf numFmtId="0" fontId="10" fillId="0" borderId="9" xfId="3" applyFont="1" applyFill="1" applyBorder="1" applyAlignment="1">
      <alignment horizontal="center"/>
    </xf>
    <xf numFmtId="0" fontId="10" fillId="0" borderId="0" xfId="3" applyFont="1" applyBorder="1" applyAlignment="1">
      <alignment horizontal="center"/>
    </xf>
    <xf numFmtId="166" fontId="4" fillId="14" borderId="36" xfId="4" applyFont="1" applyFill="1" applyBorder="1"/>
    <xf numFmtId="166" fontId="4" fillId="0" borderId="31" xfId="4" applyNumberFormat="1" applyFont="1" applyFill="1" applyBorder="1" applyAlignment="1"/>
    <xf numFmtId="166" fontId="4" fillId="14" borderId="37" xfId="4" applyFont="1" applyFill="1" applyBorder="1"/>
    <xf numFmtId="0" fontId="10" fillId="0" borderId="31" xfId="3" applyFont="1" applyBorder="1" applyAlignment="1">
      <alignment horizontal="center"/>
    </xf>
    <xf numFmtId="166" fontId="10" fillId="0" borderId="27" xfId="4" applyFont="1" applyBorder="1"/>
    <xf numFmtId="170" fontId="4" fillId="0" borderId="12" xfId="4" applyNumberFormat="1" applyFont="1" applyFill="1" applyBorder="1"/>
    <xf numFmtId="166" fontId="13" fillId="11" borderId="12" xfId="4" quotePrefix="1" applyFont="1" applyFill="1" applyBorder="1" applyAlignment="1">
      <alignment horizontal="right"/>
    </xf>
    <xf numFmtId="166" fontId="4" fillId="0" borderId="44" xfId="4" applyFont="1" applyBorder="1"/>
    <xf numFmtId="166" fontId="4" fillId="0" borderId="49" xfId="4" applyFont="1" applyBorder="1"/>
    <xf numFmtId="0" fontId="10" fillId="0" borderId="48" xfId="3" applyFont="1" applyFill="1" applyBorder="1" applyAlignment="1">
      <alignment horizontal="center" vertical="top"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4" fillId="3" borderId="0" xfId="0" applyFont="1" applyFill="1" applyAlignment="1">
      <alignment horizontal="center" vertical="center" wrapText="1"/>
    </xf>
    <xf numFmtId="0" fontId="24" fillId="2" borderId="0" xfId="0" applyFont="1" applyFill="1" applyAlignment="1">
      <alignment horizontal="center" vertical="center" wrapText="1"/>
    </xf>
    <xf numFmtId="0" fontId="24" fillId="4" borderId="0" xfId="0" applyFont="1" applyFill="1" applyAlignment="1">
      <alignment horizontal="center" vertical="center"/>
    </xf>
    <xf numFmtId="0" fontId="24" fillId="5" borderId="0" xfId="0" applyFont="1" applyFill="1" applyAlignment="1">
      <alignment horizontal="center" vertical="center" wrapText="1"/>
    </xf>
    <xf numFmtId="0" fontId="14" fillId="0" borderId="0" xfId="0" applyFont="1" applyAlignment="1">
      <alignment horizontal="center" vertical="center" wrapText="1"/>
    </xf>
    <xf numFmtId="17" fontId="24" fillId="7" borderId="0" xfId="0" applyNumberFormat="1" applyFont="1" applyFill="1"/>
    <xf numFmtId="17" fontId="14" fillId="0" borderId="0" xfId="0" applyNumberFormat="1" applyFont="1" applyAlignment="1">
      <alignment horizontal="center"/>
    </xf>
    <xf numFmtId="0" fontId="14" fillId="0" borderId="0" xfId="0" applyFont="1" applyAlignment="1">
      <alignment horizontal="center"/>
    </xf>
    <xf numFmtId="3" fontId="15" fillId="0" borderId="0" xfId="0" applyNumberFormat="1" applyFont="1"/>
    <xf numFmtId="0" fontId="25" fillId="0" borderId="50" xfId="0" applyFont="1" applyFill="1" applyBorder="1" applyAlignment="1" applyProtection="1">
      <alignment horizontal="left"/>
      <protection locked="0"/>
    </xf>
    <xf numFmtId="3" fontId="15" fillId="7" borderId="0" xfId="0" applyNumberFormat="1" applyFont="1" applyFill="1"/>
    <xf numFmtId="3" fontId="15" fillId="3" borderId="0" xfId="0" applyNumberFormat="1" applyFont="1" applyFill="1"/>
    <xf numFmtId="3" fontId="15" fillId="2" borderId="0" xfId="0" applyNumberFormat="1" applyFont="1" applyFill="1"/>
    <xf numFmtId="3" fontId="15" fillId="4" borderId="0" xfId="0" applyNumberFormat="1" applyFont="1" applyFill="1"/>
    <xf numFmtId="3" fontId="15" fillId="5" borderId="0" xfId="0" applyNumberFormat="1" applyFont="1" applyFill="1"/>
    <xf numFmtId="3" fontId="26" fillId="19" borderId="0" xfId="2" applyNumberFormat="1" applyFont="1" applyFill="1" applyBorder="1" applyProtection="1">
      <protection locked="0"/>
    </xf>
    <xf numFmtId="3" fontId="26" fillId="11" borderId="0" xfId="2" applyNumberFormat="1" applyFont="1" applyFill="1" applyBorder="1" applyProtection="1">
      <protection locked="0"/>
    </xf>
    <xf numFmtId="165" fontId="26" fillId="11" borderId="0" xfId="2" applyNumberFormat="1" applyFont="1" applyFill="1" applyBorder="1" applyProtection="1">
      <protection locked="0"/>
    </xf>
    <xf numFmtId="165" fontId="26" fillId="19" borderId="0" xfId="2" applyNumberFormat="1" applyFont="1" applyFill="1" applyBorder="1" applyProtection="1">
      <protection locked="0"/>
    </xf>
    <xf numFmtId="165" fontId="14" fillId="0" borderId="0" xfId="0" applyNumberFormat="1" applyFont="1"/>
    <xf numFmtId="165" fontId="15" fillId="0" borderId="0" xfId="0" applyNumberFormat="1" applyFont="1" applyBorder="1"/>
    <xf numFmtId="0" fontId="25" fillId="0" borderId="51" xfId="0" applyFont="1" applyFill="1" applyBorder="1" applyAlignment="1" applyProtection="1">
      <alignment horizontal="left"/>
      <protection locked="0"/>
    </xf>
    <xf numFmtId="3" fontId="26" fillId="19" borderId="0" xfId="0" applyNumberFormat="1" applyFont="1" applyFill="1" applyBorder="1" applyProtection="1">
      <protection locked="0"/>
    </xf>
    <xf numFmtId="3" fontId="26" fillId="11" borderId="0" xfId="0" applyNumberFormat="1" applyFont="1" applyFill="1" applyBorder="1" applyProtection="1">
      <protection locked="0"/>
    </xf>
    <xf numFmtId="171" fontId="26" fillId="11" borderId="0" xfId="0" applyNumberFormat="1" applyFont="1" applyFill="1" applyBorder="1" applyProtection="1">
      <protection locked="0"/>
    </xf>
    <xf numFmtId="171" fontId="26" fillId="19" borderId="0" xfId="0" applyNumberFormat="1" applyFont="1" applyFill="1" applyBorder="1" applyProtection="1">
      <protection locked="0"/>
    </xf>
    <xf numFmtId="0" fontId="25" fillId="0" borderId="52" xfId="0" applyFont="1" applyFill="1" applyBorder="1" applyAlignment="1" applyProtection="1">
      <alignment horizontal="left"/>
      <protection locked="0"/>
    </xf>
    <xf numFmtId="0" fontId="25" fillId="0" borderId="0" xfId="0" applyFont="1"/>
    <xf numFmtId="3" fontId="15" fillId="11" borderId="0" xfId="2" applyNumberFormat="1" applyFont="1" applyFill="1" applyBorder="1" applyProtection="1"/>
    <xf numFmtId="0" fontId="15" fillId="11" borderId="0" xfId="0" applyFont="1" applyFill="1"/>
    <xf numFmtId="0" fontId="15" fillId="19" borderId="0" xfId="0" applyFont="1" applyFill="1"/>
    <xf numFmtId="3" fontId="15" fillId="11" borderId="0" xfId="0" applyNumberFormat="1" applyFont="1" applyFill="1"/>
    <xf numFmtId="0" fontId="25" fillId="0" borderId="52" xfId="0" applyFont="1" applyFill="1" applyBorder="1" applyAlignment="1" applyProtection="1">
      <protection locked="0"/>
    </xf>
    <xf numFmtId="0" fontId="25" fillId="0" borderId="0" xfId="0" applyFont="1" applyFill="1" applyBorder="1" applyAlignment="1" applyProtection="1">
      <alignment horizontal="left"/>
      <protection locked="0"/>
    </xf>
    <xf numFmtId="166" fontId="25" fillId="0" borderId="0" xfId="2" applyNumberFormat="1" applyFont="1" applyFill="1" applyBorder="1" applyProtection="1">
      <protection locked="0"/>
    </xf>
    <xf numFmtId="0" fontId="25" fillId="0" borderId="53" xfId="0" applyFont="1" applyFill="1" applyBorder="1" applyAlignment="1" applyProtection="1">
      <alignment horizontal="left"/>
      <protection locked="0"/>
    </xf>
    <xf numFmtId="3" fontId="14" fillId="0" borderId="20" xfId="0" applyNumberFormat="1" applyFont="1" applyBorder="1"/>
    <xf numFmtId="3" fontId="14" fillId="7" borderId="20" xfId="0" applyNumberFormat="1" applyFont="1" applyFill="1" applyBorder="1"/>
    <xf numFmtId="3" fontId="14" fillId="3" borderId="20" xfId="0" applyNumberFormat="1" applyFont="1" applyFill="1" applyBorder="1"/>
    <xf numFmtId="3" fontId="14" fillId="2" borderId="20" xfId="0" applyNumberFormat="1" applyFont="1" applyFill="1" applyBorder="1"/>
    <xf numFmtId="3" fontId="14" fillId="4" borderId="20" xfId="0" applyNumberFormat="1" applyFont="1" applyFill="1" applyBorder="1"/>
    <xf numFmtId="3" fontId="14" fillId="5" borderId="20" xfId="0" applyNumberFormat="1" applyFont="1" applyFill="1" applyBorder="1"/>
    <xf numFmtId="3" fontId="14" fillId="0" borderId="54" xfId="0" applyNumberFormat="1" applyFont="1" applyBorder="1"/>
    <xf numFmtId="0" fontId="14" fillId="5" borderId="4" xfId="0" applyFont="1" applyFill="1" applyBorder="1"/>
    <xf numFmtId="3" fontId="14" fillId="5" borderId="6" xfId="0" applyNumberFormat="1" applyFont="1" applyFill="1" applyBorder="1"/>
    <xf numFmtId="0" fontId="0" fillId="0" borderId="0" xfId="0" applyFont="1" applyFill="1"/>
    <xf numFmtId="165" fontId="15" fillId="0" borderId="0" xfId="0" applyNumberFormat="1" applyFont="1" applyFill="1"/>
    <xf numFmtId="172" fontId="4" fillId="0" borderId="0" xfId="3" applyNumberFormat="1" applyFont="1"/>
    <xf numFmtId="0" fontId="14" fillId="5" borderId="2" xfId="0" applyFont="1" applyFill="1" applyBorder="1"/>
    <xf numFmtId="0" fontId="27" fillId="0" borderId="0" xfId="0" applyFont="1" applyFill="1" applyBorder="1"/>
    <xf numFmtId="0" fontId="0" fillId="0" borderId="0" xfId="0" applyFont="1" applyFill="1" applyBorder="1"/>
    <xf numFmtId="0" fontId="28" fillId="0" borderId="0" xfId="0" applyFont="1" applyFill="1" applyBorder="1"/>
    <xf numFmtId="0" fontId="0" fillId="0" borderId="55" xfId="0" applyBorder="1"/>
    <xf numFmtId="3" fontId="27" fillId="20" borderId="46" xfId="0" applyNumberFormat="1" applyFont="1" applyFill="1" applyBorder="1" applyAlignment="1" applyProtection="1">
      <alignment horizontal="center" vertical="center" wrapText="1"/>
      <protection locked="0"/>
    </xf>
    <xf numFmtId="0" fontId="0" fillId="0" borderId="46" xfId="0" applyBorder="1"/>
    <xf numFmtId="0" fontId="28" fillId="0" borderId="0" xfId="0" applyFont="1" applyBorder="1" applyAlignment="1" applyProtection="1">
      <alignment vertical="center"/>
      <protection locked="0"/>
    </xf>
    <xf numFmtId="3" fontId="28" fillId="0" borderId="0" xfId="0" applyNumberFormat="1" applyFont="1" applyBorder="1" applyAlignment="1" applyProtection="1">
      <alignment vertical="center"/>
      <protection locked="0"/>
    </xf>
    <xf numFmtId="3" fontId="29" fillId="0" borderId="0" xfId="0" applyNumberFormat="1" applyFont="1" applyBorder="1"/>
    <xf numFmtId="0" fontId="27" fillId="0" borderId="0" xfId="0" applyFont="1" applyFill="1" applyBorder="1" applyAlignment="1" applyProtection="1">
      <alignment vertical="center"/>
      <protection locked="0"/>
    </xf>
    <xf numFmtId="3" fontId="30" fillId="0" borderId="0" xfId="0" applyNumberFormat="1" applyFont="1" applyBorder="1"/>
    <xf numFmtId="0" fontId="28" fillId="0" borderId="0" xfId="0" applyFont="1" applyFill="1" applyBorder="1" applyAlignment="1" applyProtection="1">
      <alignment vertical="center"/>
      <protection locked="0"/>
    </xf>
    <xf numFmtId="0" fontId="29" fillId="0" borderId="0" xfId="0" applyFont="1" applyBorder="1"/>
    <xf numFmtId="3" fontId="27" fillId="0" borderId="0" xfId="0" applyNumberFormat="1" applyFont="1" applyFill="1" applyBorder="1" applyAlignment="1" applyProtection="1">
      <alignment horizontal="center" vertical="center" wrapText="1"/>
      <protection locked="0"/>
    </xf>
    <xf numFmtId="0" fontId="29" fillId="0" borderId="0" xfId="0" applyFont="1" applyFill="1" applyBorder="1"/>
    <xf numFmtId="0" fontId="22" fillId="5" borderId="33" xfId="0" applyFont="1" applyFill="1" applyBorder="1" applyAlignment="1" applyProtection="1">
      <alignment vertical="center"/>
      <protection locked="0"/>
    </xf>
    <xf numFmtId="3" fontId="0" fillId="5" borderId="46" xfId="0" applyNumberFormat="1" applyFont="1" applyFill="1" applyBorder="1"/>
    <xf numFmtId="3" fontId="22" fillId="5" borderId="46" xfId="0" applyNumberFormat="1" applyFont="1" applyFill="1" applyBorder="1" applyAlignment="1" applyProtection="1">
      <alignment vertical="center"/>
      <protection locked="0"/>
    </xf>
    <xf numFmtId="0" fontId="28" fillId="0" borderId="46" xfId="0" applyFont="1" applyFill="1" applyBorder="1"/>
    <xf numFmtId="0" fontId="28" fillId="0" borderId="46" xfId="0" applyFont="1" applyFill="1" applyBorder="1" applyAlignment="1">
      <alignment horizontal="right"/>
    </xf>
    <xf numFmtId="3" fontId="14" fillId="0" borderId="0" xfId="0" applyNumberFormat="1" applyFont="1" applyBorder="1"/>
    <xf numFmtId="3" fontId="14" fillId="7" borderId="0" xfId="0" applyNumberFormat="1" applyFont="1" applyFill="1" applyBorder="1"/>
    <xf numFmtId="3" fontId="14" fillId="0" borderId="0" xfId="0" applyNumberFormat="1" applyFont="1" applyFill="1" applyBorder="1"/>
    <xf numFmtId="3" fontId="15" fillId="0" borderId="0" xfId="0" applyNumberFormat="1" applyFont="1" applyFill="1" applyBorder="1"/>
    <xf numFmtId="3" fontId="15" fillId="0" borderId="0" xfId="0" applyNumberFormat="1" applyFont="1" applyBorder="1"/>
    <xf numFmtId="3" fontId="15" fillId="5" borderId="0" xfId="0" applyNumberFormat="1" applyFont="1" applyFill="1" applyBorder="1"/>
    <xf numFmtId="3" fontId="14" fillId="11" borderId="0" xfId="0" applyNumberFormat="1" applyFont="1" applyFill="1" applyBorder="1"/>
    <xf numFmtId="3" fontId="14" fillId="0" borderId="20" xfId="0" applyNumberFormat="1" applyFont="1" applyFill="1" applyBorder="1"/>
    <xf numFmtId="4" fontId="14" fillId="5" borderId="43" xfId="0" applyNumberFormat="1" applyFont="1" applyFill="1" applyBorder="1"/>
    <xf numFmtId="0" fontId="2" fillId="0" borderId="0" xfId="0" applyFont="1" applyFill="1" applyBorder="1"/>
    <xf numFmtId="165" fontId="2" fillId="0" borderId="0" xfId="0" applyNumberFormat="1" applyFont="1" applyFill="1" applyBorder="1"/>
    <xf numFmtId="0" fontId="15" fillId="21" borderId="0" xfId="0" applyFont="1" applyFill="1"/>
    <xf numFmtId="165" fontId="15" fillId="21" borderId="0" xfId="2" applyNumberFormat="1" applyFont="1" applyFill="1"/>
    <xf numFmtId="0" fontId="14" fillId="21" borderId="1" xfId="0" applyFont="1" applyFill="1" applyBorder="1"/>
    <xf numFmtId="165" fontId="15" fillId="21" borderId="1" xfId="2" applyNumberFormat="1" applyFont="1" applyFill="1" applyBorder="1"/>
    <xf numFmtId="165" fontId="14" fillId="21" borderId="1" xfId="2" applyNumberFormat="1" applyFont="1" applyFill="1" applyBorder="1"/>
    <xf numFmtId="0" fontId="15" fillId="21" borderId="4" xfId="0" applyFont="1" applyFill="1" applyBorder="1"/>
    <xf numFmtId="0" fontId="14" fillId="21" borderId="0" xfId="0" applyFont="1" applyFill="1" applyAlignment="1">
      <alignment horizontal="center"/>
    </xf>
    <xf numFmtId="0" fontId="14" fillId="5" borderId="0" xfId="0" applyFont="1" applyFill="1" applyAlignment="1">
      <alignment horizontal="center"/>
    </xf>
    <xf numFmtId="0" fontId="14" fillId="21" borderId="4" xfId="0" applyFont="1" applyFill="1" applyBorder="1"/>
    <xf numFmtId="3" fontId="14" fillId="21" borderId="6" xfId="0" applyNumberFormat="1" applyFont="1" applyFill="1" applyBorder="1"/>
    <xf numFmtId="4" fontId="14" fillId="21" borderId="43" xfId="0" applyNumberFormat="1" applyFont="1" applyFill="1" applyBorder="1"/>
    <xf numFmtId="3" fontId="14" fillId="21" borderId="0" xfId="0" applyNumberFormat="1" applyFont="1" applyFill="1" applyBorder="1"/>
    <xf numFmtId="0" fontId="24" fillId="5" borderId="0" xfId="0" applyFont="1" applyFill="1"/>
    <xf numFmtId="0" fontId="10" fillId="0" borderId="9" xfId="3" applyFont="1" applyBorder="1" applyAlignment="1">
      <alignment horizontal="center"/>
    </xf>
    <xf numFmtId="0" fontId="10" fillId="0" borderId="10" xfId="3" applyFont="1" applyBorder="1" applyAlignment="1">
      <alignment horizontal="center"/>
    </xf>
    <xf numFmtId="0" fontId="10" fillId="0" borderId="10" xfId="3" applyFont="1" applyFill="1" applyBorder="1" applyAlignment="1">
      <alignment horizontal="center"/>
    </xf>
    <xf numFmtId="0" fontId="24" fillId="7" borderId="0" xfId="0" applyFont="1" applyFill="1" applyAlignment="1">
      <alignment horizontal="center" vertical="center"/>
    </xf>
    <xf numFmtId="0" fontId="14" fillId="0" borderId="0" xfId="0" applyFont="1" applyAlignment="1">
      <alignment horizontal="center" vertical="center"/>
    </xf>
    <xf numFmtId="0" fontId="15" fillId="6" borderId="0" xfId="0" applyFont="1" applyFill="1" applyAlignment="1">
      <alignment horizontal="center" wrapText="1"/>
    </xf>
    <xf numFmtId="0" fontId="0" fillId="0" borderId="0" xfId="0" applyAlignment="1">
      <alignment horizontal="center" wrapText="1"/>
    </xf>
    <xf numFmtId="165" fontId="15" fillId="6" borderId="0" xfId="2" applyNumberFormat="1" applyFont="1" applyFill="1" applyAlignment="1">
      <alignment horizontal="center" wrapText="1"/>
    </xf>
    <xf numFmtId="0" fontId="10" fillId="0" borderId="8" xfId="3" applyFont="1" applyBorder="1" applyAlignment="1">
      <alignment horizontal="center"/>
    </xf>
    <xf numFmtId="0" fontId="10" fillId="0" borderId="9" xfId="3" applyFont="1" applyBorder="1" applyAlignment="1">
      <alignment horizontal="center"/>
    </xf>
    <xf numFmtId="0" fontId="10" fillId="0" borderId="10" xfId="3" applyFont="1" applyBorder="1" applyAlignment="1">
      <alignment horizontal="center"/>
    </xf>
    <xf numFmtId="0" fontId="10" fillId="0" borderId="21" xfId="3" applyFont="1" applyFill="1" applyBorder="1" applyAlignment="1">
      <alignment horizontal="center"/>
    </xf>
    <xf numFmtId="0" fontId="10" fillId="0" borderId="22" xfId="3" applyFont="1" applyFill="1" applyBorder="1" applyAlignment="1">
      <alignment horizontal="center"/>
    </xf>
    <xf numFmtId="0" fontId="10" fillId="0" borderId="10" xfId="3" applyFont="1" applyFill="1" applyBorder="1" applyAlignment="1">
      <alignment horizontal="center"/>
    </xf>
    <xf numFmtId="0" fontId="10" fillId="0" borderId="23" xfId="3" applyFont="1" applyFill="1" applyBorder="1" applyAlignment="1">
      <alignment horizontal="center"/>
    </xf>
    <xf numFmtId="166" fontId="10" fillId="0" borderId="26" xfId="4" applyFont="1" applyBorder="1" applyAlignment="1">
      <alignment horizontal="left" vertical="center"/>
    </xf>
    <xf numFmtId="166" fontId="10" fillId="0" borderId="30" xfId="4" applyFont="1" applyBorder="1" applyAlignment="1">
      <alignment horizontal="left" vertical="center"/>
    </xf>
    <xf numFmtId="166" fontId="10" fillId="6" borderId="40" xfId="4" applyFont="1" applyFill="1" applyBorder="1" applyAlignment="1">
      <alignment horizontal="right"/>
    </xf>
    <xf numFmtId="0" fontId="0" fillId="6" borderId="2" xfId="0" applyFill="1" applyBorder="1" applyAlignment="1">
      <alignment horizontal="right"/>
    </xf>
    <xf numFmtId="0" fontId="0" fillId="6" borderId="38" xfId="0" applyFill="1" applyBorder="1" applyAlignment="1">
      <alignment horizontal="right"/>
    </xf>
    <xf numFmtId="0" fontId="24" fillId="7" borderId="0" xfId="0" applyFont="1" applyFill="1" applyAlignment="1">
      <alignment horizontal="center" vertical="center"/>
    </xf>
    <xf numFmtId="0" fontId="14" fillId="0" borderId="0" xfId="0" applyFont="1" applyAlignment="1">
      <alignment horizontal="center" vertical="center"/>
    </xf>
  </cellXfs>
  <cellStyles count="6">
    <cellStyle name="Comma" xfId="2" builtinId="3"/>
    <cellStyle name="Geneva" xfId="5" xr:uid="{00000000-0005-0000-0000-000001000000}"/>
    <cellStyle name="Normal" xfId="0" builtinId="0"/>
    <cellStyle name="Normal 3" xfId="3" xr:uid="{00000000-0005-0000-0000-000003000000}"/>
    <cellStyle name="Normal_Showact2000" xfId="4" xr:uid="{00000000-0005-0000-0000-000004000000}"/>
    <cellStyle name="Percent" xfId="1" builtinId="5"/>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0616%20Feb%20&amp;%20May%20Revised%20Programme%20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Festival Programme"/>
      <sheetName val="Feb Box Office Projection"/>
      <sheetName val="May Festival Programme"/>
      <sheetName val="May Box Office Projection"/>
    </sheetNames>
    <sheetDataSet>
      <sheetData sheetId="0">
        <row r="53">
          <cell r="C53">
            <v>22050</v>
          </cell>
        </row>
      </sheetData>
      <sheetData sheetId="1">
        <row r="37">
          <cell r="B37">
            <v>21</v>
          </cell>
          <cell r="G37">
            <v>1990</v>
          </cell>
          <cell r="I37">
            <v>7758.3333333333339</v>
          </cell>
        </row>
      </sheetData>
      <sheetData sheetId="2">
        <row r="21">
          <cell r="C21">
            <v>40800</v>
          </cell>
        </row>
      </sheetData>
      <sheetData sheetId="3">
        <row r="40">
          <cell r="B40">
            <v>24</v>
          </cell>
          <cell r="G40">
            <v>3120</v>
          </cell>
          <cell r="I40">
            <v>13350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1"/>
  <sheetViews>
    <sheetView tabSelected="1" workbookViewId="0" xr3:uid="{AEA406A1-0E4B-5B11-9CD5-51D6E497D94C}">
      <pane ySplit="1" topLeftCell="A11" activePane="bottomLeft" state="frozen"/>
      <selection pane="bottomLeft" activeCell="A13" sqref="A13"/>
    </sheetView>
  </sheetViews>
  <sheetFormatPr defaultRowHeight="12.75"/>
  <cols>
    <col min="1" max="1" width="39.7109375" style="249" customWidth="1"/>
    <col min="2" max="2" width="12.28515625" style="248" customWidth="1"/>
    <col min="3" max="3" width="11.42578125" style="248" customWidth="1"/>
    <col min="4" max="4" width="12.28515625" style="248" customWidth="1"/>
    <col min="5" max="5" width="9.5703125" style="248" customWidth="1"/>
    <col min="6" max="8" width="9.28515625" style="248" customWidth="1"/>
    <col min="9" max="9" width="4.42578125" style="249" customWidth="1"/>
    <col min="10" max="10" width="25.5703125" style="249" customWidth="1"/>
    <col min="11" max="11" width="11.7109375" style="249" customWidth="1"/>
    <col min="12" max="12" width="2" style="249" customWidth="1"/>
    <col min="13" max="13" width="9.7109375" style="248" customWidth="1"/>
    <col min="14" max="14" width="8.42578125" style="249" customWidth="1"/>
    <col min="15" max="15" width="10.5703125" style="248" customWidth="1"/>
    <col min="16" max="16" width="9.140625" style="249"/>
    <col min="17" max="17" width="9.140625" style="249" customWidth="1"/>
    <col min="18" max="16384" width="9.140625" style="249"/>
  </cols>
  <sheetData>
    <row r="1" spans="1:18" ht="51">
      <c r="A1" s="345" t="s">
        <v>0</v>
      </c>
      <c r="B1" s="299" t="s">
        <v>1</v>
      </c>
      <c r="C1" s="354" t="s">
        <v>2</v>
      </c>
      <c r="D1" s="299" t="s">
        <v>3</v>
      </c>
      <c r="E1" s="299" t="s">
        <v>4</v>
      </c>
      <c r="F1" s="299" t="s">
        <v>5</v>
      </c>
      <c r="G1" s="299" t="s">
        <v>6</v>
      </c>
      <c r="H1" s="299" t="s">
        <v>7</v>
      </c>
      <c r="I1" s="298"/>
      <c r="J1" s="298"/>
      <c r="K1" s="298"/>
      <c r="O1" s="299" t="s">
        <v>1</v>
      </c>
      <c r="P1" s="359" t="s">
        <v>4</v>
      </c>
      <c r="Q1" s="299" t="s">
        <v>5</v>
      </c>
      <c r="R1" s="299" t="s">
        <v>7</v>
      </c>
    </row>
    <row r="2" spans="1:18">
      <c r="A2" s="250" t="s">
        <v>8</v>
      </c>
      <c r="B2" s="251"/>
      <c r="C2" s="251"/>
      <c r="D2" s="251"/>
      <c r="E2" s="251"/>
      <c r="F2" s="251"/>
      <c r="G2" s="251"/>
      <c r="H2" s="251"/>
      <c r="J2" s="250" t="s">
        <v>9</v>
      </c>
      <c r="K2" s="252"/>
      <c r="L2" s="252"/>
      <c r="M2" s="251"/>
      <c r="N2" s="252"/>
      <c r="O2" s="251"/>
      <c r="P2" s="252"/>
      <c r="Q2" s="252"/>
      <c r="R2" s="252"/>
    </row>
    <row r="3" spans="1:18">
      <c r="A3" s="252" t="s">
        <v>10</v>
      </c>
      <c r="B3" s="251">
        <f>B17</f>
        <v>15000</v>
      </c>
      <c r="C3" s="251">
        <f>C17</f>
        <v>2394</v>
      </c>
      <c r="D3" s="251">
        <f>B3+C3</f>
        <v>17394</v>
      </c>
      <c r="E3" s="251">
        <f>E17</f>
        <v>17394</v>
      </c>
      <c r="F3" s="251">
        <f>D3-E3</f>
        <v>0</v>
      </c>
      <c r="G3" s="251">
        <f>G17</f>
        <v>2348</v>
      </c>
      <c r="H3" s="251">
        <f>H17</f>
        <v>3245</v>
      </c>
      <c r="J3" s="250" t="s">
        <v>11</v>
      </c>
      <c r="K3" s="252"/>
      <c r="L3" s="252"/>
      <c r="M3" s="251"/>
      <c r="N3" s="252"/>
      <c r="O3" s="251">
        <v>75000</v>
      </c>
      <c r="P3" s="342">
        <f>O3</f>
        <v>75000</v>
      </c>
      <c r="Q3" s="342">
        <f>P3-O3</f>
        <v>0</v>
      </c>
      <c r="R3" s="252"/>
    </row>
    <row r="4" spans="1:18">
      <c r="A4" s="252" t="s">
        <v>12</v>
      </c>
      <c r="B4" s="251">
        <f>B26</f>
        <v>160770</v>
      </c>
      <c r="C4" s="251">
        <f>C26</f>
        <v>0</v>
      </c>
      <c r="D4" s="251">
        <f t="shared" ref="D4:D8" si="0">B4+C4</f>
        <v>160770</v>
      </c>
      <c r="E4" s="251">
        <f>E26</f>
        <v>161020</v>
      </c>
      <c r="F4" s="251">
        <f>D4-E4</f>
        <v>-250</v>
      </c>
      <c r="G4" s="251"/>
      <c r="H4" s="251">
        <f>H26</f>
        <v>4500</v>
      </c>
      <c r="J4" s="250" t="s">
        <v>13</v>
      </c>
      <c r="K4" s="252"/>
      <c r="L4" s="252"/>
      <c r="M4" s="251"/>
      <c r="N4" s="252"/>
      <c r="O4" s="251">
        <v>35975</v>
      </c>
      <c r="P4" s="342">
        <f>O4</f>
        <v>35975</v>
      </c>
      <c r="Q4" s="342">
        <f t="shared" ref="Q4:Q7" si="1">P4-O4</f>
        <v>0</v>
      </c>
      <c r="R4" s="252"/>
    </row>
    <row r="5" spans="1:18">
      <c r="A5" s="252" t="s">
        <v>14</v>
      </c>
      <c r="B5" s="251">
        <f>B33</f>
        <v>157495</v>
      </c>
      <c r="C5" s="251">
        <f>C33</f>
        <v>0</v>
      </c>
      <c r="D5" s="251">
        <f t="shared" si="0"/>
        <v>157495</v>
      </c>
      <c r="E5" s="251">
        <f>E33</f>
        <v>159069.56</v>
      </c>
      <c r="F5" s="251">
        <f t="shared" ref="F5:F8" si="2">D5-E5</f>
        <v>-1574.5599999999977</v>
      </c>
      <c r="G5" s="251">
        <f>G29</f>
        <v>600</v>
      </c>
      <c r="H5" s="251">
        <f>H33</f>
        <v>1400</v>
      </c>
      <c r="J5" s="250" t="s">
        <v>15</v>
      </c>
      <c r="K5" s="252"/>
      <c r="L5" s="252"/>
      <c r="M5" s="251"/>
      <c r="N5" s="252"/>
      <c r="O5" s="251">
        <v>0</v>
      </c>
      <c r="P5" s="342">
        <f>O5</f>
        <v>0</v>
      </c>
      <c r="Q5" s="342">
        <f t="shared" si="1"/>
        <v>0</v>
      </c>
      <c r="R5" s="252"/>
    </row>
    <row r="6" spans="1:18">
      <c r="A6" s="252" t="s">
        <v>16</v>
      </c>
      <c r="B6" s="251">
        <f>B45</f>
        <v>16500</v>
      </c>
      <c r="C6" s="251">
        <f>C45</f>
        <v>9570</v>
      </c>
      <c r="D6" s="251">
        <f t="shared" si="0"/>
        <v>26070</v>
      </c>
      <c r="E6" s="251">
        <f t="shared" ref="E6:E7" si="3">D6</f>
        <v>26070</v>
      </c>
      <c r="F6" s="251">
        <f t="shared" si="2"/>
        <v>0</v>
      </c>
      <c r="G6" s="251"/>
      <c r="H6" s="251">
        <f>H45</f>
        <v>182.62</v>
      </c>
      <c r="J6" s="250" t="s">
        <v>17</v>
      </c>
      <c r="K6" s="252"/>
      <c r="L6" s="252"/>
      <c r="M6" s="251"/>
      <c r="N6" s="252"/>
      <c r="O6" s="251">
        <f>269000-42750</f>
        <v>226250</v>
      </c>
      <c r="P6" s="342">
        <f>O6</f>
        <v>226250</v>
      </c>
      <c r="Q6" s="342">
        <f t="shared" si="1"/>
        <v>0</v>
      </c>
      <c r="R6" s="252"/>
    </row>
    <row r="7" spans="1:18">
      <c r="A7" s="252" t="s">
        <v>18</v>
      </c>
      <c r="B7" s="251">
        <f>(B4*0.03)</f>
        <v>4823.0999999999995</v>
      </c>
      <c r="C7" s="251">
        <f>1065-39</f>
        <v>1026</v>
      </c>
      <c r="D7" s="251">
        <f t="shared" si="0"/>
        <v>5849.0999999999995</v>
      </c>
      <c r="E7" s="251">
        <f t="shared" si="3"/>
        <v>5849.0999999999995</v>
      </c>
      <c r="F7" s="251">
        <f t="shared" si="2"/>
        <v>0</v>
      </c>
      <c r="G7" s="251"/>
      <c r="H7" s="251"/>
      <c r="J7" s="250" t="s">
        <v>19</v>
      </c>
      <c r="K7" s="252"/>
      <c r="L7" s="252"/>
      <c r="M7" s="251"/>
      <c r="N7" s="252"/>
      <c r="O7" s="251">
        <f>O25</f>
        <v>53148.333333333336</v>
      </c>
      <c r="P7" s="342">
        <f>O25-O21+P21</f>
        <v>56615.052083333336</v>
      </c>
      <c r="Q7" s="342">
        <f t="shared" si="1"/>
        <v>3466.71875</v>
      </c>
      <c r="R7" s="252">
        <v>150</v>
      </c>
    </row>
    <row r="8" spans="1:18">
      <c r="A8" s="252"/>
      <c r="B8" s="251"/>
      <c r="C8" s="251">
        <f>C50</f>
        <v>22985</v>
      </c>
      <c r="D8" s="251">
        <f t="shared" si="0"/>
        <v>22985</v>
      </c>
      <c r="E8" s="251">
        <f>E50</f>
        <v>22985</v>
      </c>
      <c r="F8" s="251">
        <f t="shared" si="2"/>
        <v>0</v>
      </c>
      <c r="G8" s="251"/>
      <c r="H8" s="251"/>
      <c r="J8" s="250"/>
      <c r="K8" s="252"/>
      <c r="L8" s="252"/>
      <c r="M8" s="251"/>
      <c r="N8" s="252"/>
      <c r="O8" s="251"/>
      <c r="P8" s="342"/>
      <c r="Q8" s="342"/>
      <c r="R8" s="252"/>
    </row>
    <row r="9" spans="1:18" ht="13.5" thickBot="1">
      <c r="A9" s="253" t="s">
        <v>20</v>
      </c>
      <c r="B9" s="254">
        <f>SUM(B3:B7)</f>
        <v>354588.1</v>
      </c>
      <c r="C9" s="341">
        <f>SUM(C3:C8)</f>
        <v>35975</v>
      </c>
      <c r="D9" s="254">
        <f>SUM(D3:D8)</f>
        <v>390563.1</v>
      </c>
      <c r="E9" s="341">
        <f>SUM(E3:E8)</f>
        <v>392387.66</v>
      </c>
      <c r="F9" s="341">
        <f t="shared" ref="F9" si="4">SUM(F3:F7)</f>
        <v>-1824.5599999999977</v>
      </c>
      <c r="G9" s="341">
        <f t="shared" ref="G9" si="5">SUM(G3:G7)</f>
        <v>2948</v>
      </c>
      <c r="H9" s="341">
        <f t="shared" ref="H9" si="6">SUM(H3:H7)</f>
        <v>9327.6200000000008</v>
      </c>
      <c r="J9" s="253" t="s">
        <v>21</v>
      </c>
      <c r="K9" s="253"/>
      <c r="L9" s="253"/>
      <c r="M9" s="254"/>
      <c r="N9" s="253"/>
      <c r="O9" s="254">
        <f>SUM(O3:O7)</f>
        <v>390373.33333333331</v>
      </c>
      <c r="P9" s="348">
        <f>SUM(P3:P7)</f>
        <v>393840.05208333331</v>
      </c>
      <c r="Q9" s="348">
        <f t="shared" ref="Q9" si="7">SUM(Q3:Q7)</f>
        <v>3466.71875</v>
      </c>
      <c r="R9" s="449">
        <f>SUM(R3:R7)</f>
        <v>150</v>
      </c>
    </row>
    <row r="10" spans="1:18" s="257" customFormat="1" ht="13.5" thickBot="1">
      <c r="A10" s="255" t="s">
        <v>22</v>
      </c>
      <c r="B10" s="256">
        <f>O9-B9</f>
        <v>35785.233333333337</v>
      </c>
      <c r="C10" s="264"/>
      <c r="D10" s="356">
        <f>O9-D9</f>
        <v>-189.76666666666279</v>
      </c>
      <c r="E10" s="344">
        <f>P9-E9</f>
        <v>1452.3920833333395</v>
      </c>
      <c r="F10" s="264"/>
      <c r="G10" s="264"/>
      <c r="H10" s="264"/>
      <c r="J10" s="258" t="s">
        <v>23</v>
      </c>
      <c r="K10" s="259"/>
      <c r="L10" s="259"/>
      <c r="M10" s="260"/>
      <c r="N10" s="259"/>
      <c r="O10" s="261">
        <f>O6/O9</f>
        <v>0.57957339982239231</v>
      </c>
      <c r="P10" s="353">
        <f>P6/P9</f>
        <v>0.57447179077695065</v>
      </c>
      <c r="Q10" s="350"/>
    </row>
    <row r="11" spans="1:18" s="257" customFormat="1" ht="13.5" thickBot="1">
      <c r="A11" s="255" t="s">
        <v>24</v>
      </c>
      <c r="B11" s="256">
        <f>B9-O7</f>
        <v>301439.76666666666</v>
      </c>
      <c r="C11" s="264"/>
      <c r="D11" s="343">
        <f>D9-O7</f>
        <v>337414.76666666666</v>
      </c>
      <c r="E11" s="343">
        <f>E9-P7</f>
        <v>335772.60791666666</v>
      </c>
      <c r="F11" s="264"/>
      <c r="G11" s="264"/>
      <c r="H11" s="341">
        <f>H9-R9</f>
        <v>9177.6200000000008</v>
      </c>
      <c r="J11" s="255"/>
      <c r="K11" s="259"/>
      <c r="L11" s="259"/>
      <c r="M11" s="260"/>
      <c r="N11" s="259"/>
      <c r="O11" s="262"/>
      <c r="P11" s="352"/>
      <c r="Q11" s="351"/>
      <c r="R11" s="447"/>
    </row>
    <row r="12" spans="1:18" s="257" customFormat="1">
      <c r="A12" s="263"/>
      <c r="B12" s="264"/>
      <c r="C12" s="264"/>
      <c r="D12" s="264"/>
      <c r="E12" s="264"/>
      <c r="F12" s="264"/>
      <c r="G12" s="264"/>
      <c r="H12" s="264"/>
      <c r="J12" s="249"/>
      <c r="K12" s="249"/>
      <c r="L12" s="249"/>
      <c r="M12" s="248"/>
      <c r="N12" s="249"/>
      <c r="O12" s="248"/>
    </row>
    <row r="14" spans="1:18">
      <c r="A14" s="265" t="s">
        <v>10</v>
      </c>
      <c r="B14" s="266"/>
      <c r="C14" s="266"/>
      <c r="D14" s="266"/>
      <c r="E14" s="266"/>
      <c r="F14" s="266"/>
      <c r="G14" s="266"/>
      <c r="H14" s="266"/>
    </row>
    <row r="15" spans="1:18">
      <c r="A15" s="267" t="s">
        <v>25</v>
      </c>
      <c r="B15" s="268">
        <v>10000</v>
      </c>
      <c r="C15" s="268">
        <v>2394</v>
      </c>
      <c r="D15" s="268">
        <f>B15+C15</f>
        <v>12394</v>
      </c>
      <c r="E15" s="268">
        <f>D15</f>
        <v>12394</v>
      </c>
      <c r="F15" s="268">
        <f>D15-E15</f>
        <v>0</v>
      </c>
      <c r="G15" s="268">
        <f>2116+232</f>
        <v>2348</v>
      </c>
      <c r="H15" s="268">
        <v>1300</v>
      </c>
      <c r="I15" s="249" t="s">
        <v>26</v>
      </c>
    </row>
    <row r="16" spans="1:18">
      <c r="A16" s="267" t="s">
        <v>27</v>
      </c>
      <c r="B16" s="268">
        <v>5000</v>
      </c>
      <c r="C16" s="268"/>
      <c r="D16" s="268">
        <f>B16</f>
        <v>5000</v>
      </c>
      <c r="E16" s="268">
        <f>D16</f>
        <v>5000</v>
      </c>
      <c r="F16" s="268">
        <f>D16-E16</f>
        <v>0</v>
      </c>
      <c r="G16" s="268"/>
      <c r="H16" s="268">
        <f>1545+400</f>
        <v>1945</v>
      </c>
      <c r="I16" s="249" t="s">
        <v>26</v>
      </c>
    </row>
    <row r="17" spans="1:17">
      <c r="A17" s="269" t="s">
        <v>28</v>
      </c>
      <c r="B17" s="270">
        <f>SUM(B15:B16)</f>
        <v>15000</v>
      </c>
      <c r="C17" s="270">
        <f>SUM(C15:C16)</f>
        <v>2394</v>
      </c>
      <c r="D17" s="270">
        <f>SUM(D15:D16)</f>
        <v>17394</v>
      </c>
      <c r="E17" s="270">
        <f t="shared" ref="E17:F17" si="8">SUM(E15:E16)</f>
        <v>17394</v>
      </c>
      <c r="F17" s="270">
        <f t="shared" si="8"/>
        <v>0</v>
      </c>
      <c r="G17" s="270">
        <f t="shared" ref="G17" si="9">SUM(G15:G16)</f>
        <v>2348</v>
      </c>
      <c r="H17" s="270">
        <f t="shared" ref="H17" si="10">SUM(H15:H16)</f>
        <v>3245</v>
      </c>
    </row>
    <row r="19" spans="1:17">
      <c r="A19" s="271" t="s">
        <v>29</v>
      </c>
      <c r="B19" s="272"/>
      <c r="C19" s="272"/>
      <c r="D19" s="272"/>
      <c r="E19" s="272"/>
      <c r="F19" s="272"/>
      <c r="G19" s="272"/>
      <c r="H19" s="272"/>
      <c r="J19" s="273" t="s">
        <v>30</v>
      </c>
      <c r="K19" s="499" t="s">
        <v>31</v>
      </c>
      <c r="L19" s="274"/>
      <c r="M19" s="275"/>
      <c r="N19" s="499" t="s">
        <v>32</v>
      </c>
      <c r="O19" s="501" t="s">
        <v>33</v>
      </c>
      <c r="P19" s="274"/>
      <c r="Q19" s="274"/>
    </row>
    <row r="20" spans="1:17">
      <c r="A20" s="276" t="s">
        <v>34</v>
      </c>
      <c r="B20" s="272"/>
      <c r="C20" s="272"/>
      <c r="D20" s="272"/>
      <c r="E20" s="272"/>
      <c r="F20" s="272"/>
      <c r="G20" s="272"/>
      <c r="H20" s="272"/>
      <c r="J20" s="274" t="s">
        <v>35</v>
      </c>
      <c r="K20" s="500"/>
      <c r="L20" s="274"/>
      <c r="M20" s="275" t="s">
        <v>36</v>
      </c>
      <c r="N20" s="500"/>
      <c r="O20" s="500"/>
      <c r="P20" s="274"/>
      <c r="Q20" s="274"/>
    </row>
    <row r="21" spans="1:17">
      <c r="A21" s="276" t="s">
        <v>37</v>
      </c>
      <c r="B21" s="272">
        <f>'[1]Feb Festival Programme'!$C$53</f>
        <v>22050</v>
      </c>
      <c r="C21" s="272"/>
      <c r="D21" s="272">
        <f>B21+C21</f>
        <v>22050</v>
      </c>
      <c r="E21" s="272">
        <f>'Feb 17'!AB31</f>
        <v>22300</v>
      </c>
      <c r="F21" s="272">
        <f>D21-E21</f>
        <v>-250</v>
      </c>
      <c r="G21" s="272"/>
      <c r="H21" s="272">
        <v>4500</v>
      </c>
      <c r="I21" s="249" t="s">
        <v>38</v>
      </c>
      <c r="J21" s="274" t="s">
        <v>37</v>
      </c>
      <c r="K21" s="274">
        <f>'[1]Feb Box Office Projection'!$B$37</f>
        <v>21</v>
      </c>
      <c r="L21" s="277"/>
      <c r="M21" s="275">
        <f>'[1]Feb Box Office Projection'!$G$37</f>
        <v>1990</v>
      </c>
      <c r="N21" s="274"/>
      <c r="O21" s="275">
        <f>'[1]Feb Box Office Projection'!$I$37</f>
        <v>7758.3333333333339</v>
      </c>
      <c r="P21" s="300">
        <f>'Feb 17'!AB29</f>
        <v>11225.052083333334</v>
      </c>
      <c r="Q21" s="301">
        <f>P21-O21</f>
        <v>3466.71875</v>
      </c>
    </row>
    <row r="22" spans="1:17">
      <c r="A22" s="276" t="s">
        <v>39</v>
      </c>
      <c r="B22" s="272">
        <f>'[1]May Festival Programme'!$C$21</f>
        <v>40800</v>
      </c>
      <c r="C22" s="272"/>
      <c r="D22" s="272">
        <f t="shared" ref="D22:D24" si="11">B22+C22</f>
        <v>40800</v>
      </c>
      <c r="E22" s="272">
        <f>D22</f>
        <v>40800</v>
      </c>
      <c r="F22" s="272">
        <f t="shared" ref="F22:F24" si="12">D22-E22</f>
        <v>0</v>
      </c>
      <c r="G22" s="272"/>
      <c r="H22" s="272"/>
      <c r="I22" s="249" t="s">
        <v>38</v>
      </c>
      <c r="J22" s="274" t="s">
        <v>39</v>
      </c>
      <c r="K22" s="278">
        <f>'[1]May Box Office Projection'!$B$40</f>
        <v>24</v>
      </c>
      <c r="L22" s="277"/>
      <c r="M22" s="275">
        <f>'[1]May Box Office Projection'!$G$40</f>
        <v>3120</v>
      </c>
      <c r="N22" s="274"/>
      <c r="O22" s="275">
        <f>'[1]May Box Office Projection'!$I$40</f>
        <v>13350</v>
      </c>
      <c r="P22" s="274"/>
      <c r="Q22" s="274"/>
    </row>
    <row r="23" spans="1:17">
      <c r="A23" s="276" t="s">
        <v>40</v>
      </c>
      <c r="B23" s="272">
        <f>B22*1.2</f>
        <v>48960</v>
      </c>
      <c r="C23" s="272"/>
      <c r="D23" s="272">
        <f t="shared" si="11"/>
        <v>48960</v>
      </c>
      <c r="E23" s="272">
        <f>D23</f>
        <v>48960</v>
      </c>
      <c r="F23" s="272">
        <f t="shared" si="12"/>
        <v>0</v>
      </c>
      <c r="G23" s="272"/>
      <c r="H23" s="272"/>
      <c r="I23" s="249" t="s">
        <v>38</v>
      </c>
      <c r="J23" s="274" t="s">
        <v>40</v>
      </c>
      <c r="K23" s="278">
        <f>K22*1.2</f>
        <v>28.799999999999997</v>
      </c>
      <c r="L23" s="277"/>
      <c r="M23" s="275">
        <f>M22*1.2</f>
        <v>3744</v>
      </c>
      <c r="N23" s="274"/>
      <c r="O23" s="275">
        <f>+O22*1.2</f>
        <v>16020</v>
      </c>
      <c r="P23" s="274"/>
      <c r="Q23" s="274"/>
    </row>
    <row r="24" spans="1:17">
      <c r="A24" s="276" t="s">
        <v>41</v>
      </c>
      <c r="B24" s="272">
        <f>B22*1.2</f>
        <v>48960</v>
      </c>
      <c r="C24" s="272"/>
      <c r="D24" s="272">
        <f t="shared" si="11"/>
        <v>48960</v>
      </c>
      <c r="E24" s="272">
        <f>D24</f>
        <v>48960</v>
      </c>
      <c r="F24" s="272">
        <f t="shared" si="12"/>
        <v>0</v>
      </c>
      <c r="G24" s="272"/>
      <c r="H24" s="360"/>
      <c r="I24" s="249" t="s">
        <v>38</v>
      </c>
      <c r="J24" s="274" t="s">
        <v>41</v>
      </c>
      <c r="K24" s="278">
        <f>K22*1.2</f>
        <v>28.799999999999997</v>
      </c>
      <c r="L24" s="277"/>
      <c r="M24" s="275">
        <f>M22*1.2</f>
        <v>3744</v>
      </c>
      <c r="N24" s="274"/>
      <c r="O24" s="275">
        <f>O22*1.2</f>
        <v>16020</v>
      </c>
      <c r="P24" s="274"/>
      <c r="Q24" s="274"/>
    </row>
    <row r="25" spans="1:17" ht="13.5" thickBot="1">
      <c r="A25" s="361" t="s">
        <v>42</v>
      </c>
      <c r="B25" s="360"/>
      <c r="C25" s="360"/>
      <c r="D25" s="360"/>
      <c r="E25" s="360"/>
      <c r="F25" s="272"/>
      <c r="G25" s="360"/>
      <c r="H25" s="360"/>
      <c r="J25" s="280" t="s">
        <v>43</v>
      </c>
      <c r="K25" s="280">
        <f>SUM(K21:K24)</f>
        <v>102.6</v>
      </c>
      <c r="L25" s="280"/>
      <c r="M25" s="281">
        <f>SUM(M21:M24)</f>
        <v>12598</v>
      </c>
      <c r="N25" s="280"/>
      <c r="O25" s="281">
        <f>SUM(O21:O24)</f>
        <v>53148.333333333336</v>
      </c>
      <c r="P25" s="281">
        <f t="shared" ref="P25:Q25" si="13">SUM(P21:P24)</f>
        <v>11225.052083333334</v>
      </c>
      <c r="Q25" s="281">
        <f t="shared" si="13"/>
        <v>3466.71875</v>
      </c>
    </row>
    <row r="26" spans="1:17" s="257" customFormat="1">
      <c r="A26" s="279" t="s">
        <v>44</v>
      </c>
      <c r="B26" s="357">
        <f>SUM(B21:B25)</f>
        <v>160770</v>
      </c>
      <c r="C26" s="357">
        <f>SUM(C21:C24)</f>
        <v>0</v>
      </c>
      <c r="D26" s="357">
        <f>SUM(D21:D25)</f>
        <v>160770</v>
      </c>
      <c r="E26" s="357">
        <f>SUM(E21:E24)</f>
        <v>161020</v>
      </c>
      <c r="F26" s="357">
        <f>SUM(F21:F24)</f>
        <v>-250</v>
      </c>
      <c r="G26" s="357"/>
      <c r="H26" s="357">
        <f>SUM(H21:H24)</f>
        <v>4500</v>
      </c>
      <c r="M26" s="282"/>
      <c r="O26" s="282"/>
    </row>
    <row r="27" spans="1:17" s="257" customFormat="1">
      <c r="B27" s="282"/>
      <c r="C27" s="282"/>
      <c r="D27" s="282"/>
      <c r="E27" s="282"/>
      <c r="F27" s="282"/>
      <c r="G27" s="282"/>
      <c r="H27" s="282"/>
      <c r="M27" s="282"/>
      <c r="O27" s="282"/>
    </row>
    <row r="28" spans="1:17" s="257" customFormat="1">
      <c r="A28" s="283" t="s">
        <v>45</v>
      </c>
      <c r="B28" s="284"/>
      <c r="C28" s="284"/>
      <c r="D28" s="284"/>
      <c r="E28" s="284"/>
      <c r="F28" s="284"/>
      <c r="G28" s="284"/>
      <c r="H28" s="284"/>
      <c r="M28" s="282"/>
      <c r="N28" s="331"/>
      <c r="O28" s="282"/>
    </row>
    <row r="29" spans="1:17" s="257" customFormat="1">
      <c r="A29" s="285" t="s">
        <v>37</v>
      </c>
      <c r="B29" s="284">
        <f>'Area Festivals'!H97</f>
        <v>26340</v>
      </c>
      <c r="C29" s="284"/>
      <c r="D29" s="284">
        <f>B29+C29</f>
        <v>26340</v>
      </c>
      <c r="E29" s="284">
        <f>'Feb 17'!AB52</f>
        <v>27914.560000000001</v>
      </c>
      <c r="F29" s="284">
        <f>D29-E29</f>
        <v>-1574.5600000000013</v>
      </c>
      <c r="G29" s="284">
        <v>600</v>
      </c>
      <c r="H29" s="284">
        <v>1400</v>
      </c>
      <c r="M29" s="282"/>
      <c r="N29" s="332"/>
      <c r="O29" s="282"/>
    </row>
    <row r="30" spans="1:17" s="257" customFormat="1">
      <c r="A30" s="285" t="s">
        <v>39</v>
      </c>
      <c r="B30" s="284">
        <f>'Area Festivals'!L97</f>
        <v>36775</v>
      </c>
      <c r="C30" s="284"/>
      <c r="D30" s="284">
        <f t="shared" ref="D30:D32" si="14">B30+C30</f>
        <v>36775</v>
      </c>
      <c r="E30" s="284">
        <f>D30</f>
        <v>36775</v>
      </c>
      <c r="F30" s="284">
        <f t="shared" ref="F30:F32" si="15">D30-E30</f>
        <v>0</v>
      </c>
      <c r="G30" s="284"/>
      <c r="H30" s="284"/>
      <c r="M30" s="282"/>
      <c r="N30" s="330"/>
      <c r="O30" s="282"/>
    </row>
    <row r="31" spans="1:17" s="257" customFormat="1">
      <c r="A31" s="285" t="s">
        <v>40</v>
      </c>
      <c r="B31" s="284">
        <f>'Area Festivals'!P97</f>
        <v>47190</v>
      </c>
      <c r="C31" s="284"/>
      <c r="D31" s="284">
        <f t="shared" si="14"/>
        <v>47190</v>
      </c>
      <c r="E31" s="284">
        <f>D31</f>
        <v>47190</v>
      </c>
      <c r="F31" s="284">
        <f t="shared" si="15"/>
        <v>0</v>
      </c>
      <c r="G31" s="284"/>
      <c r="H31" s="284"/>
      <c r="M31" s="282"/>
      <c r="O31" s="282"/>
      <c r="Q31" s="249"/>
    </row>
    <row r="32" spans="1:17">
      <c r="A32" s="285" t="s">
        <v>41</v>
      </c>
      <c r="B32" s="284">
        <f>'Area Festivals'!T97</f>
        <v>47190</v>
      </c>
      <c r="C32" s="284"/>
      <c r="D32" s="284">
        <f t="shared" si="14"/>
        <v>47190</v>
      </c>
      <c r="E32" s="284">
        <f>D32</f>
        <v>47190</v>
      </c>
      <c r="F32" s="284">
        <f t="shared" si="15"/>
        <v>0</v>
      </c>
      <c r="G32" s="284"/>
      <c r="H32" s="284"/>
    </row>
    <row r="33" spans="1:9">
      <c r="A33" s="286" t="s">
        <v>44</v>
      </c>
      <c r="B33" s="358">
        <f>SUM(B29:B32)</f>
        <v>157495</v>
      </c>
      <c r="C33" s="358">
        <f>SUM(C29:C32)</f>
        <v>0</v>
      </c>
      <c r="D33" s="358">
        <f>SUM(D29:D32)</f>
        <v>157495</v>
      </c>
      <c r="E33" s="358">
        <f t="shared" ref="E33:H33" si="16">SUM(E29:E32)</f>
        <v>159069.56</v>
      </c>
      <c r="F33" s="358">
        <f t="shared" si="16"/>
        <v>-1574.5600000000013</v>
      </c>
      <c r="G33" s="358">
        <f t="shared" si="16"/>
        <v>600</v>
      </c>
      <c r="H33" s="358">
        <f t="shared" si="16"/>
        <v>1400</v>
      </c>
    </row>
    <row r="35" spans="1:9">
      <c r="A35" s="287" t="s">
        <v>46</v>
      </c>
      <c r="B35" s="288"/>
      <c r="C35" s="288"/>
      <c r="D35" s="288"/>
      <c r="E35" s="288"/>
      <c r="F35" s="288"/>
      <c r="G35" s="288"/>
      <c r="H35" s="288"/>
    </row>
    <row r="36" spans="1:9">
      <c r="A36" s="289" t="s">
        <v>47</v>
      </c>
      <c r="B36" s="290">
        <f>15*100</f>
        <v>1500</v>
      </c>
      <c r="C36" s="290"/>
      <c r="D36" s="290">
        <f>B36+C36</f>
        <v>1500</v>
      </c>
      <c r="E36" s="290">
        <f>D36</f>
        <v>1500</v>
      </c>
      <c r="F36" s="290">
        <f>D36-E36</f>
        <v>0</v>
      </c>
      <c r="G36" s="290"/>
      <c r="H36" s="290"/>
      <c r="I36" s="249" t="s">
        <v>48</v>
      </c>
    </row>
    <row r="37" spans="1:9">
      <c r="A37" s="289" t="s">
        <v>49</v>
      </c>
      <c r="B37" s="290">
        <f>350*24</f>
        <v>8400</v>
      </c>
      <c r="C37" s="290">
        <v>8001</v>
      </c>
      <c r="D37" s="290">
        <f t="shared" ref="D37:D44" si="17">B37+C37</f>
        <v>16401</v>
      </c>
      <c r="E37" s="290">
        <f t="shared" ref="E37:E44" si="18">D37</f>
        <v>16401</v>
      </c>
      <c r="F37" s="290">
        <f t="shared" ref="F37:F44" si="19">D37-E37</f>
        <v>0</v>
      </c>
      <c r="G37" s="290"/>
      <c r="H37" s="290"/>
      <c r="I37" s="249" t="s">
        <v>48</v>
      </c>
    </row>
    <row r="38" spans="1:9">
      <c r="A38" s="289" t="s">
        <v>50</v>
      </c>
      <c r="B38" s="290">
        <f>(18*(32000/12))*0.5</f>
        <v>24000</v>
      </c>
      <c r="C38" s="290"/>
      <c r="D38" s="290">
        <f t="shared" si="17"/>
        <v>24000</v>
      </c>
      <c r="E38" s="290">
        <f t="shared" si="18"/>
        <v>24000</v>
      </c>
      <c r="F38" s="290">
        <f t="shared" si="19"/>
        <v>0</v>
      </c>
      <c r="G38" s="290"/>
      <c r="H38" s="290"/>
      <c r="I38" s="249" t="s">
        <v>51</v>
      </c>
    </row>
    <row r="39" spans="1:9">
      <c r="A39" s="289" t="s">
        <v>52</v>
      </c>
      <c r="B39" s="290">
        <f>((18*(25000/12))*0.5)</f>
        <v>18750</v>
      </c>
      <c r="C39" s="290"/>
      <c r="D39" s="290">
        <f t="shared" si="17"/>
        <v>18750</v>
      </c>
      <c r="E39" s="290">
        <f t="shared" si="18"/>
        <v>18750</v>
      </c>
      <c r="F39" s="290">
        <f t="shared" si="19"/>
        <v>0</v>
      </c>
      <c r="G39" s="290"/>
      <c r="H39" s="290"/>
      <c r="I39" s="249" t="s">
        <v>51</v>
      </c>
    </row>
    <row r="40" spans="1:9">
      <c r="A40" s="289" t="s">
        <v>53</v>
      </c>
      <c r="B40" s="290">
        <f>-B38</f>
        <v>-24000</v>
      </c>
      <c r="C40" s="290"/>
      <c r="D40" s="290">
        <f t="shared" si="17"/>
        <v>-24000</v>
      </c>
      <c r="E40" s="290">
        <f t="shared" si="18"/>
        <v>-24000</v>
      </c>
      <c r="F40" s="290">
        <f t="shared" si="19"/>
        <v>0</v>
      </c>
      <c r="G40" s="290"/>
      <c r="H40" s="290"/>
      <c r="I40" s="249" t="s">
        <v>51</v>
      </c>
    </row>
    <row r="41" spans="1:9">
      <c r="A41" s="289" t="s">
        <v>53</v>
      </c>
      <c r="B41" s="290">
        <f>-B39</f>
        <v>-18750</v>
      </c>
      <c r="C41" s="290"/>
      <c r="D41" s="290">
        <f t="shared" si="17"/>
        <v>-18750</v>
      </c>
      <c r="E41" s="290">
        <f t="shared" si="18"/>
        <v>-18750</v>
      </c>
      <c r="F41" s="290">
        <f t="shared" si="19"/>
        <v>0</v>
      </c>
      <c r="G41" s="290"/>
      <c r="H41" s="290"/>
      <c r="I41" s="249" t="s">
        <v>51</v>
      </c>
    </row>
    <row r="42" spans="1:9">
      <c r="A42" s="289" t="s">
        <v>54</v>
      </c>
      <c r="B42" s="290">
        <f>3*2*20*20</f>
        <v>2400</v>
      </c>
      <c r="C42" s="290">
        <v>39</v>
      </c>
      <c r="D42" s="290">
        <f t="shared" si="17"/>
        <v>2439</v>
      </c>
      <c r="E42" s="290">
        <f t="shared" si="18"/>
        <v>2439</v>
      </c>
      <c r="F42" s="290">
        <f t="shared" si="19"/>
        <v>0</v>
      </c>
      <c r="G42" s="290"/>
      <c r="H42" s="290">
        <f>15+39</f>
        <v>54</v>
      </c>
      <c r="I42" s="249" t="s">
        <v>51</v>
      </c>
    </row>
    <row r="43" spans="1:9">
      <c r="A43" s="289" t="s">
        <v>55</v>
      </c>
      <c r="B43" s="290">
        <f>10*60*2</f>
        <v>1200</v>
      </c>
      <c r="C43" s="290"/>
      <c r="D43" s="290">
        <f t="shared" si="17"/>
        <v>1200</v>
      </c>
      <c r="E43" s="290">
        <f t="shared" si="18"/>
        <v>1200</v>
      </c>
      <c r="F43" s="290">
        <f t="shared" si="19"/>
        <v>0</v>
      </c>
      <c r="G43" s="290"/>
      <c r="H43" s="290">
        <v>128.62</v>
      </c>
      <c r="I43" s="249" t="s">
        <v>56</v>
      </c>
    </row>
    <row r="44" spans="1:9">
      <c r="A44" s="289" t="s">
        <v>57</v>
      </c>
      <c r="B44" s="290">
        <f>3*1000</f>
        <v>3000</v>
      </c>
      <c r="C44" s="290">
        <v>1530</v>
      </c>
      <c r="D44" s="290">
        <f t="shared" si="17"/>
        <v>4530</v>
      </c>
      <c r="E44" s="290">
        <f t="shared" si="18"/>
        <v>4530</v>
      </c>
      <c r="F44" s="290">
        <f t="shared" si="19"/>
        <v>0</v>
      </c>
      <c r="G44" s="290"/>
      <c r="H44" s="290"/>
      <c r="I44" s="249" t="s">
        <v>58</v>
      </c>
    </row>
    <row r="45" spans="1:9">
      <c r="A45" s="291" t="s">
        <v>59</v>
      </c>
      <c r="B45" s="292">
        <f>SUM(B36:B44)</f>
        <v>16500</v>
      </c>
      <c r="C45" s="292">
        <f>SUM(C36:C44)</f>
        <v>9570</v>
      </c>
      <c r="D45" s="292">
        <f>SUM(D36:D44)</f>
        <v>26070</v>
      </c>
      <c r="E45" s="292">
        <f t="shared" ref="E45:H45" si="20">SUM(E36:E44)</f>
        <v>26070</v>
      </c>
      <c r="F45" s="292">
        <f t="shared" si="20"/>
        <v>0</v>
      </c>
      <c r="G45" s="292"/>
      <c r="H45" s="292">
        <f t="shared" si="20"/>
        <v>182.62</v>
      </c>
    </row>
    <row r="47" spans="1:9">
      <c r="A47" s="247"/>
      <c r="B47" s="349"/>
      <c r="C47" s="349"/>
      <c r="D47" s="349"/>
      <c r="E47" s="349"/>
      <c r="F47" s="349"/>
      <c r="G47" s="349"/>
      <c r="H47" s="349"/>
    </row>
    <row r="48" spans="1:9">
      <c r="A48" s="481" t="s">
        <v>60</v>
      </c>
      <c r="B48" s="482"/>
      <c r="C48" s="482">
        <v>4050</v>
      </c>
      <c r="D48" s="482">
        <f>C48</f>
        <v>4050</v>
      </c>
      <c r="E48" s="482">
        <f>D48</f>
        <v>4050</v>
      </c>
      <c r="F48" s="482"/>
      <c r="G48" s="482"/>
      <c r="H48" s="482"/>
      <c r="I48" s="249" t="s">
        <v>61</v>
      </c>
    </row>
    <row r="49" spans="1:15">
      <c r="A49" s="481" t="s">
        <v>62</v>
      </c>
      <c r="B49" s="482"/>
      <c r="C49" s="482">
        <v>18935</v>
      </c>
      <c r="D49" s="482">
        <f t="shared" ref="D49:E50" si="21">C49</f>
        <v>18935</v>
      </c>
      <c r="E49" s="482">
        <f t="shared" si="21"/>
        <v>18935</v>
      </c>
      <c r="F49" s="482"/>
      <c r="G49" s="482"/>
      <c r="H49" s="482"/>
      <c r="I49" s="249" t="s">
        <v>61</v>
      </c>
    </row>
    <row r="50" spans="1:15">
      <c r="A50" s="483" t="s">
        <v>59</v>
      </c>
      <c r="B50" s="484"/>
      <c r="C50" s="485">
        <f>SUM(C48:C49)</f>
        <v>22985</v>
      </c>
      <c r="D50" s="485">
        <f t="shared" si="21"/>
        <v>22985</v>
      </c>
      <c r="E50" s="485">
        <f t="shared" si="21"/>
        <v>22985</v>
      </c>
      <c r="F50" s="484"/>
      <c r="G50" s="484"/>
      <c r="H50" s="484"/>
    </row>
    <row r="59" spans="1:15">
      <c r="J59" s="293"/>
      <c r="K59" s="293"/>
      <c r="L59" s="293"/>
      <c r="M59" s="294"/>
      <c r="N59" s="293"/>
      <c r="O59" s="294"/>
    </row>
    <row r="60" spans="1:15">
      <c r="J60" s="293"/>
      <c r="K60" s="293"/>
      <c r="L60" s="293"/>
      <c r="M60" s="294"/>
      <c r="N60" s="293"/>
      <c r="O60" s="294"/>
    </row>
    <row r="61" spans="1:15">
      <c r="J61" s="295"/>
      <c r="K61" s="295"/>
      <c r="L61" s="295"/>
      <c r="M61" s="296"/>
      <c r="N61" s="295"/>
      <c r="O61" s="296"/>
    </row>
  </sheetData>
  <mergeCells count="3">
    <mergeCell ref="K19:K20"/>
    <mergeCell ref="N19:N20"/>
    <mergeCell ref="O19:O20"/>
  </mergeCells>
  <pageMargins left="0.25" right="0.25" top="0.75" bottom="0.75" header="0.3" footer="0.3"/>
  <pageSetup paperSize="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32"/>
  <sheetViews>
    <sheetView topLeftCell="A112" workbookViewId="0" xr3:uid="{958C4451-9541-5A59-BF78-D2F731DF1C81}">
      <selection activeCell="E123" sqref="E123"/>
    </sheetView>
  </sheetViews>
  <sheetFormatPr defaultRowHeight="15"/>
  <cols>
    <col min="1" max="1" width="55.85546875" bestFit="1" customWidth="1"/>
    <col min="2" max="2" width="2.28515625" bestFit="1" customWidth="1"/>
    <col min="3" max="3" width="11.85546875" customWidth="1"/>
    <col min="4" max="4" width="9.140625" customWidth="1"/>
    <col min="5" max="5" width="15.85546875" bestFit="1" customWidth="1"/>
    <col min="8" max="8" width="10.7109375" style="1" bestFit="1" customWidth="1"/>
    <col min="12" max="12" width="10.7109375" bestFit="1" customWidth="1"/>
    <col min="16" max="16" width="10.5703125" bestFit="1" customWidth="1"/>
    <col min="20" max="20" width="11.5703125" bestFit="1" customWidth="1"/>
  </cols>
  <sheetData>
    <row r="1" spans="1:24">
      <c r="A1" s="1" t="s">
        <v>63</v>
      </c>
      <c r="C1" t="s">
        <v>64</v>
      </c>
      <c r="E1" s="10" t="s">
        <v>65</v>
      </c>
      <c r="F1" s="11" t="s">
        <v>66</v>
      </c>
      <c r="G1" s="11" t="s">
        <v>67</v>
      </c>
      <c r="H1" s="12">
        <v>42767</v>
      </c>
      <c r="I1" s="10" t="s">
        <v>65</v>
      </c>
      <c r="J1" s="11" t="s">
        <v>66</v>
      </c>
      <c r="K1" s="11" t="s">
        <v>67</v>
      </c>
      <c r="L1" s="12">
        <v>42856</v>
      </c>
      <c r="M1" s="10" t="s">
        <v>65</v>
      </c>
      <c r="N1" s="11" t="s">
        <v>66</v>
      </c>
      <c r="O1" s="11" t="s">
        <v>67</v>
      </c>
      <c r="P1" s="12">
        <v>43009</v>
      </c>
      <c r="Q1" s="10" t="s">
        <v>65</v>
      </c>
      <c r="R1" s="11" t="s">
        <v>66</v>
      </c>
      <c r="S1" s="11" t="s">
        <v>67</v>
      </c>
      <c r="T1" s="12">
        <v>43132</v>
      </c>
    </row>
    <row r="2" spans="1:24">
      <c r="A2" s="4" t="s">
        <v>68</v>
      </c>
      <c r="B2" s="4" t="s">
        <v>69</v>
      </c>
      <c r="C2" s="4">
        <v>50</v>
      </c>
      <c r="D2" s="4"/>
      <c r="E2" s="13"/>
      <c r="F2" s="6">
        <f>+H$31</f>
        <v>4</v>
      </c>
      <c r="G2" s="14">
        <f>C2</f>
        <v>50</v>
      </c>
      <c r="H2" s="45">
        <f>+E2*F2*G2</f>
        <v>0</v>
      </c>
      <c r="I2" s="13">
        <f>+L30</f>
        <v>3</v>
      </c>
      <c r="J2" s="6">
        <f>+L$31</f>
        <v>5</v>
      </c>
      <c r="K2" s="14">
        <f>G2</f>
        <v>50</v>
      </c>
      <c r="L2" s="45">
        <f>+I2*J2*K2</f>
        <v>750</v>
      </c>
      <c r="M2" s="13">
        <f>+P30</f>
        <v>4</v>
      </c>
      <c r="N2" s="6">
        <f>+P$31</f>
        <v>6</v>
      </c>
      <c r="O2" s="14">
        <f>K2</f>
        <v>50</v>
      </c>
      <c r="P2" s="45">
        <f>+M2*N2*O2</f>
        <v>1200</v>
      </c>
      <c r="Q2" s="13">
        <f>+T30</f>
        <v>4</v>
      </c>
      <c r="R2" s="6">
        <f>+T$31</f>
        <v>6</v>
      </c>
      <c r="S2" s="14">
        <f>O2</f>
        <v>50</v>
      </c>
      <c r="T2" s="45">
        <f>+Q2*R2*S2</f>
        <v>1200</v>
      </c>
    </row>
    <row r="3" spans="1:24">
      <c r="A3" s="4" t="s">
        <v>70</v>
      </c>
      <c r="B3" s="4" t="s">
        <v>71</v>
      </c>
      <c r="C3" s="4">
        <v>150</v>
      </c>
      <c r="D3" s="4"/>
      <c r="E3" s="13">
        <f>+H30</f>
        <v>2</v>
      </c>
      <c r="F3" s="6">
        <f>+H$31</f>
        <v>4</v>
      </c>
      <c r="G3" s="14">
        <f>C3</f>
        <v>150</v>
      </c>
      <c r="H3" s="45">
        <f>+E3*F3*G3</f>
        <v>1200</v>
      </c>
      <c r="I3" s="13">
        <f>+L30</f>
        <v>3</v>
      </c>
      <c r="J3" s="6">
        <f>+L$31</f>
        <v>5</v>
      </c>
      <c r="K3" s="14">
        <f>G3</f>
        <v>150</v>
      </c>
      <c r="L3" s="45">
        <f>+I3*J3*K3</f>
        <v>2250</v>
      </c>
      <c r="M3" s="13">
        <f>+P30</f>
        <v>4</v>
      </c>
      <c r="N3" s="6">
        <f>+P$31</f>
        <v>6</v>
      </c>
      <c r="O3" s="14">
        <f>K3</f>
        <v>150</v>
      </c>
      <c r="P3" s="45">
        <f>+M3*N3*O3</f>
        <v>3600</v>
      </c>
      <c r="Q3" s="13">
        <f>+T30</f>
        <v>4</v>
      </c>
      <c r="R3" s="6">
        <f>+T$31</f>
        <v>6</v>
      </c>
      <c r="S3" s="14">
        <f>O3</f>
        <v>150</v>
      </c>
      <c r="T3" s="45">
        <f>+Q3*R3*S3</f>
        <v>3600</v>
      </c>
      <c r="V3" s="3" t="s">
        <v>72</v>
      </c>
      <c r="W3" s="3"/>
      <c r="X3" s="3"/>
    </row>
    <row r="4" spans="1:24">
      <c r="A4" s="4" t="s">
        <v>73</v>
      </c>
      <c r="B4" s="4" t="s">
        <v>71</v>
      </c>
      <c r="C4" s="42">
        <v>60</v>
      </c>
      <c r="D4" s="4"/>
      <c r="E4" s="13">
        <f>+H30</f>
        <v>2</v>
      </c>
      <c r="F4" s="14">
        <v>1</v>
      </c>
      <c r="G4" s="14">
        <f>C4</f>
        <v>60</v>
      </c>
      <c r="H4" s="45">
        <f>+E4*F4*G4</f>
        <v>120</v>
      </c>
      <c r="I4" s="13">
        <f>+L30</f>
        <v>3</v>
      </c>
      <c r="J4" s="14">
        <v>1</v>
      </c>
      <c r="K4" s="14">
        <f>G4</f>
        <v>60</v>
      </c>
      <c r="L4" s="45">
        <f>+I4*J4*K4</f>
        <v>180</v>
      </c>
      <c r="M4" s="13">
        <f>+P30</f>
        <v>4</v>
      </c>
      <c r="N4" s="14">
        <v>1</v>
      </c>
      <c r="O4" s="14">
        <f>K4</f>
        <v>60</v>
      </c>
      <c r="P4" s="45">
        <f>+M4*N4*O4</f>
        <v>240</v>
      </c>
      <c r="Q4" s="13">
        <f>+T30</f>
        <v>4</v>
      </c>
      <c r="R4" s="14">
        <v>1</v>
      </c>
      <c r="S4" s="14">
        <f>O4</f>
        <v>60</v>
      </c>
      <c r="T4" s="45">
        <f>+Q4*R4*S4</f>
        <v>240</v>
      </c>
      <c r="V4" s="24" t="s">
        <v>74</v>
      </c>
      <c r="W4" s="23"/>
      <c r="X4" s="23"/>
    </row>
    <row r="5" spans="1:24">
      <c r="A5" s="4" t="s">
        <v>75</v>
      </c>
      <c r="B5" s="4" t="s">
        <v>71</v>
      </c>
      <c r="C5" s="42">
        <f>500/10</f>
        <v>50</v>
      </c>
      <c r="D5" s="4"/>
      <c r="E5" s="13">
        <f>+H30</f>
        <v>2</v>
      </c>
      <c r="F5" s="6">
        <f>+H31</f>
        <v>4</v>
      </c>
      <c r="G5" s="14">
        <f>C5</f>
        <v>50</v>
      </c>
      <c r="H5" s="45">
        <f>+E5*F5*G5</f>
        <v>400</v>
      </c>
      <c r="I5" s="13">
        <f>+L30</f>
        <v>3</v>
      </c>
      <c r="J5" s="6">
        <f>+L31</f>
        <v>5</v>
      </c>
      <c r="K5" s="14">
        <f>G5</f>
        <v>50</v>
      </c>
      <c r="L5" s="45">
        <f>+I5*J5*K5</f>
        <v>750</v>
      </c>
      <c r="M5" s="13">
        <f>+P30</f>
        <v>4</v>
      </c>
      <c r="N5" s="6">
        <f>+P31</f>
        <v>6</v>
      </c>
      <c r="O5" s="14">
        <f>K5</f>
        <v>50</v>
      </c>
      <c r="P5" s="45">
        <f>+M5*N5*O5</f>
        <v>1200</v>
      </c>
      <c r="Q5" s="13">
        <f>+T30</f>
        <v>4</v>
      </c>
      <c r="R5" s="6">
        <f>+T31</f>
        <v>6</v>
      </c>
      <c r="S5" s="14">
        <f>O5</f>
        <v>50</v>
      </c>
      <c r="T5" s="45">
        <f>+Q5*R5*S5</f>
        <v>1200</v>
      </c>
    </row>
    <row r="6" spans="1:24">
      <c r="A6" s="4" t="s">
        <v>76</v>
      </c>
      <c r="B6" s="4" t="s">
        <v>71</v>
      </c>
      <c r="C6" s="4">
        <v>15</v>
      </c>
      <c r="D6" s="4"/>
      <c r="E6" s="16">
        <v>8</v>
      </c>
      <c r="F6" s="6">
        <f>+H$31</f>
        <v>4</v>
      </c>
      <c r="G6" s="14">
        <v>15</v>
      </c>
      <c r="H6" s="45">
        <f>+E6*F6*G6</f>
        <v>480</v>
      </c>
      <c r="I6" s="16">
        <v>8</v>
      </c>
      <c r="J6" s="6">
        <f>+L$31</f>
        <v>5</v>
      </c>
      <c r="K6" s="14">
        <f>G6</f>
        <v>15</v>
      </c>
      <c r="L6" s="45">
        <f>+I6*J6*K6</f>
        <v>600</v>
      </c>
      <c r="M6" s="16">
        <v>10</v>
      </c>
      <c r="N6" s="6">
        <f>+P$31</f>
        <v>6</v>
      </c>
      <c r="O6" s="14">
        <f>K6</f>
        <v>15</v>
      </c>
      <c r="P6" s="45">
        <f>+M6*N6*O6</f>
        <v>900</v>
      </c>
      <c r="Q6" s="16">
        <v>10</v>
      </c>
      <c r="R6" s="6">
        <f>+T$31</f>
        <v>6</v>
      </c>
      <c r="S6" s="14">
        <f>O6</f>
        <v>15</v>
      </c>
      <c r="T6" s="45">
        <f>+Q6*R6*S6</f>
        <v>900</v>
      </c>
    </row>
    <row r="7" spans="1:24">
      <c r="A7" s="4" t="s">
        <v>77</v>
      </c>
      <c r="B7" s="4"/>
      <c r="C7" s="4"/>
      <c r="D7" s="4"/>
      <c r="E7" s="16"/>
      <c r="F7" s="6"/>
      <c r="G7" s="14"/>
      <c r="H7" s="45">
        <v>400</v>
      </c>
      <c r="I7" s="16"/>
      <c r="J7" s="6"/>
      <c r="K7" s="14"/>
      <c r="L7" s="45"/>
      <c r="M7" s="16"/>
      <c r="N7" s="6"/>
      <c r="O7" s="14"/>
      <c r="P7" s="45"/>
      <c r="Q7" s="16"/>
      <c r="R7" s="6"/>
      <c r="S7" s="14"/>
      <c r="T7" s="45"/>
    </row>
    <row r="8" spans="1:24">
      <c r="A8" s="5" t="s">
        <v>78</v>
      </c>
      <c r="B8" s="5"/>
      <c r="C8" s="5"/>
      <c r="D8" s="5"/>
      <c r="E8" s="17"/>
      <c r="F8" s="5"/>
      <c r="G8" s="5"/>
      <c r="H8" s="46">
        <f>SUM(H2:H7)</f>
        <v>2600</v>
      </c>
      <c r="I8" s="17"/>
      <c r="J8" s="5"/>
      <c r="K8" s="5"/>
      <c r="L8" s="46">
        <f>SUM(L2:L6)</f>
        <v>4530</v>
      </c>
      <c r="M8" s="17"/>
      <c r="N8" s="5"/>
      <c r="O8" s="5"/>
      <c r="P8" s="46">
        <f>SUM(P2:P6)</f>
        <v>7140</v>
      </c>
      <c r="Q8" s="17"/>
      <c r="R8" s="5"/>
      <c r="S8" s="5"/>
      <c r="T8" s="46">
        <f>SUM(T2:T6)</f>
        <v>7140</v>
      </c>
    </row>
    <row r="9" spans="1:24">
      <c r="A9" s="4"/>
      <c r="B9" s="4"/>
      <c r="C9" s="4"/>
      <c r="D9" s="4"/>
      <c r="E9" s="13"/>
      <c r="F9" s="6"/>
      <c r="G9" s="6"/>
      <c r="H9" s="45"/>
      <c r="I9" s="13"/>
      <c r="J9" s="6"/>
      <c r="K9" s="6"/>
      <c r="L9" s="45"/>
      <c r="M9" s="13"/>
      <c r="N9" s="6"/>
      <c r="O9" s="6"/>
      <c r="P9" s="45"/>
      <c r="Q9" s="13"/>
      <c r="R9" s="6"/>
      <c r="S9" s="6"/>
      <c r="T9" s="45"/>
    </row>
    <row r="10" spans="1:24">
      <c r="A10" s="4" t="s">
        <v>79</v>
      </c>
      <c r="B10" s="4"/>
      <c r="C10" s="4"/>
      <c r="D10" s="4"/>
      <c r="E10" s="13"/>
      <c r="F10" s="6"/>
      <c r="G10" s="6"/>
      <c r="H10" s="45"/>
      <c r="I10" s="13"/>
      <c r="J10" s="6"/>
      <c r="K10" s="6"/>
      <c r="L10" s="45"/>
      <c r="M10" s="13"/>
      <c r="N10" s="6"/>
      <c r="O10" s="6"/>
      <c r="P10" s="45"/>
      <c r="Q10" s="13"/>
      <c r="R10" s="6"/>
      <c r="S10" s="6"/>
      <c r="T10" s="45"/>
    </row>
    <row r="11" spans="1:24">
      <c r="A11" s="4" t="s">
        <v>80</v>
      </c>
      <c r="B11" s="4" t="s">
        <v>71</v>
      </c>
      <c r="C11" s="4">
        <v>150</v>
      </c>
      <c r="D11" s="4"/>
      <c r="E11" s="16">
        <v>1</v>
      </c>
      <c r="F11" s="6">
        <f>+H31*1.2</f>
        <v>4.8</v>
      </c>
      <c r="G11" s="14">
        <f>C11</f>
        <v>150</v>
      </c>
      <c r="H11" s="45">
        <f>+E11*F11*G11</f>
        <v>720</v>
      </c>
      <c r="I11" s="16">
        <v>1</v>
      </c>
      <c r="J11" s="6">
        <f>+L31*1.2</f>
        <v>6</v>
      </c>
      <c r="K11" s="14">
        <f>G11</f>
        <v>150</v>
      </c>
      <c r="L11" s="45">
        <f>+I11*J11*K11</f>
        <v>900</v>
      </c>
      <c r="M11" s="16">
        <v>1</v>
      </c>
      <c r="N11" s="6">
        <f>+P31*1.2</f>
        <v>7.1999999999999993</v>
      </c>
      <c r="O11" s="14">
        <f>K11</f>
        <v>150</v>
      </c>
      <c r="P11" s="45">
        <f>+M11*N11*O11</f>
        <v>1080</v>
      </c>
      <c r="Q11" s="16">
        <v>1</v>
      </c>
      <c r="R11" s="6">
        <f>+T31*1.2</f>
        <v>7.1999999999999993</v>
      </c>
      <c r="S11" s="14">
        <f>O11</f>
        <v>150</v>
      </c>
      <c r="T11" s="45">
        <f>+Q11*R11*S11</f>
        <v>1080</v>
      </c>
    </row>
    <row r="12" spans="1:24">
      <c r="A12" s="4" t="s">
        <v>81</v>
      </c>
      <c r="B12" s="4" t="s">
        <v>71</v>
      </c>
      <c r="C12" s="4">
        <v>120</v>
      </c>
      <c r="D12" s="4"/>
      <c r="E12" s="16">
        <v>2</v>
      </c>
      <c r="F12" s="6">
        <f>+H31</f>
        <v>4</v>
      </c>
      <c r="G12" s="14">
        <f>C12</f>
        <v>120</v>
      </c>
      <c r="H12" s="45">
        <f>+E12*F12*G12</f>
        <v>960</v>
      </c>
      <c r="I12" s="16">
        <v>2</v>
      </c>
      <c r="J12" s="6">
        <f>+L31</f>
        <v>5</v>
      </c>
      <c r="K12" s="14">
        <f>G12</f>
        <v>120</v>
      </c>
      <c r="L12" s="45">
        <f>+I12*J12*K12</f>
        <v>1200</v>
      </c>
      <c r="M12" s="16">
        <v>2</v>
      </c>
      <c r="N12" s="6">
        <f>+P31</f>
        <v>6</v>
      </c>
      <c r="O12" s="14">
        <f>K12</f>
        <v>120</v>
      </c>
      <c r="P12" s="45">
        <f>+M12*N12*O12</f>
        <v>1440</v>
      </c>
      <c r="Q12" s="16">
        <v>2</v>
      </c>
      <c r="R12" s="6">
        <f>+T31</f>
        <v>6</v>
      </c>
      <c r="S12" s="14">
        <f>O12</f>
        <v>120</v>
      </c>
      <c r="T12" s="45">
        <f>+Q12*R12*S12</f>
        <v>1440</v>
      </c>
    </row>
    <row r="13" spans="1:24">
      <c r="A13" s="4" t="s">
        <v>82</v>
      </c>
      <c r="B13" s="4" t="s">
        <v>71</v>
      </c>
      <c r="C13" s="4">
        <v>50</v>
      </c>
      <c r="D13" s="4"/>
      <c r="E13" s="16">
        <v>1</v>
      </c>
      <c r="F13" s="6">
        <f>+H31*1.2</f>
        <v>4.8</v>
      </c>
      <c r="G13" s="14">
        <f>C13</f>
        <v>50</v>
      </c>
      <c r="H13" s="45">
        <f>+E13*F13*G13</f>
        <v>240</v>
      </c>
      <c r="I13" s="16">
        <v>1</v>
      </c>
      <c r="J13" s="6">
        <f>+L31*1.2</f>
        <v>6</v>
      </c>
      <c r="K13" s="14">
        <f>G13</f>
        <v>50</v>
      </c>
      <c r="L13" s="45">
        <f>+I13*J13*K13</f>
        <v>300</v>
      </c>
      <c r="M13" s="16">
        <v>1</v>
      </c>
      <c r="N13" s="6">
        <f>+P31*1.2</f>
        <v>7.1999999999999993</v>
      </c>
      <c r="O13" s="14">
        <f>K13</f>
        <v>50</v>
      </c>
      <c r="P13" s="45">
        <f>+M13*N13*O13</f>
        <v>359.99999999999994</v>
      </c>
      <c r="Q13" s="16">
        <v>1</v>
      </c>
      <c r="R13" s="6">
        <f>+T31*1.2</f>
        <v>7.1999999999999993</v>
      </c>
      <c r="S13" s="14">
        <f>O13</f>
        <v>50</v>
      </c>
      <c r="T13" s="45">
        <f>+Q13*R13*S13</f>
        <v>359.99999999999994</v>
      </c>
    </row>
    <row r="14" spans="1:24">
      <c r="A14" s="4" t="s">
        <v>83</v>
      </c>
      <c r="B14" s="4" t="s">
        <v>71</v>
      </c>
      <c r="C14" s="4">
        <v>80</v>
      </c>
      <c r="D14" s="4"/>
      <c r="E14" s="16">
        <v>1</v>
      </c>
      <c r="F14" s="6">
        <f>+H31</f>
        <v>4</v>
      </c>
      <c r="G14" s="14">
        <f>C14</f>
        <v>80</v>
      </c>
      <c r="H14" s="45">
        <f>+E14*F14*G14</f>
        <v>320</v>
      </c>
      <c r="I14" s="16">
        <v>1</v>
      </c>
      <c r="J14" s="6">
        <f>+L31</f>
        <v>5</v>
      </c>
      <c r="K14" s="14">
        <f>G14</f>
        <v>80</v>
      </c>
      <c r="L14" s="45">
        <f>+I14*J14*K14</f>
        <v>400</v>
      </c>
      <c r="M14" s="16">
        <v>1</v>
      </c>
      <c r="N14" s="6">
        <f>+P31</f>
        <v>6</v>
      </c>
      <c r="O14" s="14">
        <f>K14</f>
        <v>80</v>
      </c>
      <c r="P14" s="45">
        <f>+M14*N14*O14</f>
        <v>480</v>
      </c>
      <c r="Q14" s="16">
        <v>1</v>
      </c>
      <c r="R14" s="6">
        <f>+T31</f>
        <v>6</v>
      </c>
      <c r="S14" s="14">
        <f>O14</f>
        <v>80</v>
      </c>
      <c r="T14" s="45">
        <f>+Q14*R14*S14</f>
        <v>480</v>
      </c>
    </row>
    <row r="15" spans="1:24">
      <c r="A15" s="4" t="s">
        <v>84</v>
      </c>
      <c r="B15" s="4" t="s">
        <v>71</v>
      </c>
      <c r="C15" s="4">
        <v>40</v>
      </c>
      <c r="D15" s="4"/>
      <c r="E15" s="16">
        <v>2</v>
      </c>
      <c r="F15" s="6">
        <f>+H31</f>
        <v>4</v>
      </c>
      <c r="G15" s="14">
        <f>C15</f>
        <v>40</v>
      </c>
      <c r="H15" s="45">
        <f>+E15*F15*G15</f>
        <v>320</v>
      </c>
      <c r="I15" s="16">
        <v>2</v>
      </c>
      <c r="J15" s="6">
        <f>+L31</f>
        <v>5</v>
      </c>
      <c r="K15" s="14">
        <f>G15</f>
        <v>40</v>
      </c>
      <c r="L15" s="45">
        <f>+I15*J15*K15</f>
        <v>400</v>
      </c>
      <c r="M15" s="16">
        <v>2</v>
      </c>
      <c r="N15" s="6">
        <f>+P31</f>
        <v>6</v>
      </c>
      <c r="O15" s="14">
        <f>K15</f>
        <v>40</v>
      </c>
      <c r="P15" s="45">
        <f>+M15*N15*O15</f>
        <v>480</v>
      </c>
      <c r="Q15" s="16">
        <v>2</v>
      </c>
      <c r="R15" s="6">
        <f>+T31</f>
        <v>6</v>
      </c>
      <c r="S15" s="14">
        <f>O15</f>
        <v>40</v>
      </c>
      <c r="T15" s="45">
        <f>+Q15*R15*S15</f>
        <v>480</v>
      </c>
    </row>
    <row r="16" spans="1:24">
      <c r="A16" s="5" t="s">
        <v>85</v>
      </c>
      <c r="B16" s="5"/>
      <c r="C16" s="5"/>
      <c r="D16" s="43"/>
      <c r="E16" s="17"/>
      <c r="F16" s="5"/>
      <c r="G16" s="5"/>
      <c r="H16" s="46">
        <f>SUM(H11:H15)</f>
        <v>2560</v>
      </c>
      <c r="I16" s="17"/>
      <c r="J16" s="5"/>
      <c r="K16" s="5"/>
      <c r="L16" s="46">
        <f>SUM(L11:L15)</f>
        <v>3200</v>
      </c>
      <c r="M16" s="17"/>
      <c r="N16" s="5"/>
      <c r="O16" s="5"/>
      <c r="P16" s="46">
        <f>SUM(P11:P15)</f>
        <v>3840</v>
      </c>
      <c r="Q16" s="17"/>
      <c r="R16" s="5"/>
      <c r="S16" s="5"/>
      <c r="T16" s="46">
        <f>SUM(T11:T15)</f>
        <v>3840</v>
      </c>
    </row>
    <row r="17" spans="1:20">
      <c r="A17" s="4"/>
      <c r="B17" s="4"/>
      <c r="C17" s="4"/>
      <c r="D17" s="4"/>
      <c r="E17" s="13"/>
      <c r="F17" s="6"/>
      <c r="G17" s="6"/>
      <c r="H17" s="45"/>
      <c r="I17" s="13"/>
      <c r="J17" s="6"/>
      <c r="K17" s="6"/>
      <c r="L17" s="45"/>
      <c r="M17" s="13"/>
      <c r="N17" s="6"/>
      <c r="O17" s="6"/>
      <c r="P17" s="45"/>
      <c r="Q17" s="13"/>
      <c r="R17" s="6"/>
      <c r="S17" s="6"/>
      <c r="T17" s="45"/>
    </row>
    <row r="18" spans="1:20">
      <c r="A18" s="4" t="s">
        <v>86</v>
      </c>
      <c r="B18" s="4"/>
      <c r="C18" s="4"/>
      <c r="D18" s="4"/>
      <c r="E18" s="13"/>
      <c r="F18" s="6"/>
      <c r="G18" s="6"/>
      <c r="H18" s="45"/>
      <c r="I18" s="13"/>
      <c r="J18" s="6"/>
      <c r="K18" s="6"/>
      <c r="L18" s="45"/>
      <c r="M18" s="13"/>
      <c r="N18" s="6"/>
      <c r="O18" s="6"/>
      <c r="P18" s="45"/>
      <c r="Q18" s="13"/>
      <c r="R18" s="6"/>
      <c r="S18" s="6"/>
      <c r="T18" s="45"/>
    </row>
    <row r="19" spans="1:20">
      <c r="A19" s="4" t="s">
        <v>87</v>
      </c>
      <c r="B19" s="4" t="s">
        <v>71</v>
      </c>
      <c r="C19" s="4">
        <v>150</v>
      </c>
      <c r="D19" s="4"/>
      <c r="E19" s="16">
        <v>1</v>
      </c>
      <c r="F19" s="6">
        <f>+H31</f>
        <v>4</v>
      </c>
      <c r="G19" s="14">
        <f>C19</f>
        <v>150</v>
      </c>
      <c r="H19" s="45">
        <f t="shared" ref="H19:H25" si="0">+E19*F19*G19</f>
        <v>600</v>
      </c>
      <c r="I19" s="16">
        <v>1</v>
      </c>
      <c r="J19" s="6">
        <f>+L31</f>
        <v>5</v>
      </c>
      <c r="K19" s="14">
        <f>G19</f>
        <v>150</v>
      </c>
      <c r="L19" s="45">
        <f t="shared" ref="L19:L25" si="1">+I19*J19*K19</f>
        <v>750</v>
      </c>
      <c r="M19" s="16">
        <v>1</v>
      </c>
      <c r="N19" s="6">
        <f>+P31</f>
        <v>6</v>
      </c>
      <c r="O19" s="14">
        <f>K19</f>
        <v>150</v>
      </c>
      <c r="P19" s="45">
        <f t="shared" ref="P19:P25" si="2">+M19*N19*O19</f>
        <v>900</v>
      </c>
      <c r="Q19" s="16">
        <v>1</v>
      </c>
      <c r="R19" s="6">
        <f>+T31</f>
        <v>6</v>
      </c>
      <c r="S19" s="14">
        <f>O19</f>
        <v>150</v>
      </c>
      <c r="T19" s="45">
        <f t="shared" ref="T19:T25" si="3">+Q19*R19*S19</f>
        <v>900</v>
      </c>
    </row>
    <row r="20" spans="1:20">
      <c r="A20" s="4" t="s">
        <v>88</v>
      </c>
      <c r="B20" s="4" t="s">
        <v>71</v>
      </c>
      <c r="C20" s="4">
        <v>50</v>
      </c>
      <c r="D20" s="4"/>
      <c r="E20" s="16">
        <v>1</v>
      </c>
      <c r="F20" s="6">
        <f>+H31</f>
        <v>4</v>
      </c>
      <c r="G20" s="14">
        <f t="shared" ref="G20:G25" si="4">C20</f>
        <v>50</v>
      </c>
      <c r="H20" s="45">
        <f t="shared" si="0"/>
        <v>200</v>
      </c>
      <c r="I20" s="16">
        <v>1</v>
      </c>
      <c r="J20" s="6">
        <f>+L31</f>
        <v>5</v>
      </c>
      <c r="K20" s="14">
        <f t="shared" ref="K20:K25" si="5">G20</f>
        <v>50</v>
      </c>
      <c r="L20" s="45">
        <f t="shared" si="1"/>
        <v>250</v>
      </c>
      <c r="M20" s="16">
        <v>1</v>
      </c>
      <c r="N20" s="6">
        <f>+P31</f>
        <v>6</v>
      </c>
      <c r="O20" s="14">
        <f t="shared" ref="O20:O25" si="6">K20</f>
        <v>50</v>
      </c>
      <c r="P20" s="45">
        <f t="shared" si="2"/>
        <v>300</v>
      </c>
      <c r="Q20" s="16">
        <v>1</v>
      </c>
      <c r="R20" s="6">
        <f>+T31</f>
        <v>6</v>
      </c>
      <c r="S20" s="14">
        <f t="shared" ref="S20:S25" si="7">O20</f>
        <v>50</v>
      </c>
      <c r="T20" s="45">
        <f t="shared" si="3"/>
        <v>300</v>
      </c>
    </row>
    <row r="21" spans="1:20">
      <c r="A21" s="4" t="s">
        <v>89</v>
      </c>
      <c r="B21" s="4" t="s">
        <v>69</v>
      </c>
      <c r="C21" s="4">
        <v>500</v>
      </c>
      <c r="D21" s="4"/>
      <c r="E21" s="13">
        <f>+H30</f>
        <v>2</v>
      </c>
      <c r="F21" s="14">
        <v>1</v>
      </c>
      <c r="G21" s="14">
        <f t="shared" si="4"/>
        <v>500</v>
      </c>
      <c r="H21" s="45">
        <f t="shared" si="0"/>
        <v>1000</v>
      </c>
      <c r="I21" s="13">
        <f>+L30</f>
        <v>3</v>
      </c>
      <c r="J21" s="14">
        <v>1</v>
      </c>
      <c r="K21" s="14">
        <f t="shared" si="5"/>
        <v>500</v>
      </c>
      <c r="L21" s="45">
        <f t="shared" si="1"/>
        <v>1500</v>
      </c>
      <c r="M21" s="13">
        <f>+P30</f>
        <v>4</v>
      </c>
      <c r="N21" s="14">
        <v>1</v>
      </c>
      <c r="O21" s="14">
        <f t="shared" si="6"/>
        <v>500</v>
      </c>
      <c r="P21" s="45">
        <f t="shared" si="2"/>
        <v>2000</v>
      </c>
      <c r="Q21" s="13">
        <f>+T30</f>
        <v>4</v>
      </c>
      <c r="R21" s="14">
        <v>1</v>
      </c>
      <c r="S21" s="14">
        <f t="shared" si="7"/>
        <v>500</v>
      </c>
      <c r="T21" s="45">
        <f t="shared" si="3"/>
        <v>2000</v>
      </c>
    </row>
    <row r="22" spans="1:20">
      <c r="A22" s="4" t="s">
        <v>90</v>
      </c>
      <c r="B22" s="4" t="s">
        <v>91</v>
      </c>
      <c r="C22" s="4">
        <v>500</v>
      </c>
      <c r="D22" s="4"/>
      <c r="E22" s="16">
        <v>1</v>
      </c>
      <c r="F22" s="14">
        <v>1</v>
      </c>
      <c r="G22" s="14">
        <f t="shared" si="4"/>
        <v>500</v>
      </c>
      <c r="H22" s="45">
        <f t="shared" si="0"/>
        <v>500</v>
      </c>
      <c r="I22" s="16">
        <v>1</v>
      </c>
      <c r="J22" s="14">
        <v>1</v>
      </c>
      <c r="K22" s="14">
        <f t="shared" si="5"/>
        <v>500</v>
      </c>
      <c r="L22" s="45">
        <f t="shared" si="1"/>
        <v>500</v>
      </c>
      <c r="M22" s="16">
        <v>1</v>
      </c>
      <c r="N22" s="14">
        <v>1</v>
      </c>
      <c r="O22" s="14">
        <f t="shared" si="6"/>
        <v>500</v>
      </c>
      <c r="P22" s="45">
        <f t="shared" si="2"/>
        <v>500</v>
      </c>
      <c r="Q22" s="16">
        <v>1</v>
      </c>
      <c r="R22" s="14">
        <v>1</v>
      </c>
      <c r="S22" s="14">
        <f t="shared" si="7"/>
        <v>500</v>
      </c>
      <c r="T22" s="45">
        <f t="shared" si="3"/>
        <v>500</v>
      </c>
    </row>
    <row r="23" spans="1:20">
      <c r="A23" s="4" t="s">
        <v>92</v>
      </c>
      <c r="B23" s="4" t="s">
        <v>91</v>
      </c>
      <c r="C23" s="4">
        <v>300</v>
      </c>
      <c r="D23" s="4"/>
      <c r="E23" s="16">
        <v>1</v>
      </c>
      <c r="F23" s="14">
        <v>1</v>
      </c>
      <c r="G23" s="14">
        <f t="shared" si="4"/>
        <v>300</v>
      </c>
      <c r="H23" s="45">
        <f t="shared" si="0"/>
        <v>300</v>
      </c>
      <c r="I23" s="16">
        <v>1</v>
      </c>
      <c r="J23" s="14">
        <v>1</v>
      </c>
      <c r="K23" s="14">
        <f t="shared" si="5"/>
        <v>300</v>
      </c>
      <c r="L23" s="45">
        <f t="shared" si="1"/>
        <v>300</v>
      </c>
      <c r="M23" s="16">
        <v>1</v>
      </c>
      <c r="N23" s="14">
        <v>1</v>
      </c>
      <c r="O23" s="14">
        <f t="shared" si="6"/>
        <v>300</v>
      </c>
      <c r="P23" s="45">
        <f t="shared" si="2"/>
        <v>300</v>
      </c>
      <c r="Q23" s="16">
        <v>1</v>
      </c>
      <c r="R23" s="14">
        <v>1</v>
      </c>
      <c r="S23" s="14">
        <f t="shared" si="7"/>
        <v>300</v>
      </c>
      <c r="T23" s="45">
        <f t="shared" si="3"/>
        <v>300</v>
      </c>
    </row>
    <row r="24" spans="1:20">
      <c r="A24" s="4" t="s">
        <v>93</v>
      </c>
      <c r="B24" s="4" t="s">
        <v>71</v>
      </c>
      <c r="C24" s="4">
        <v>75</v>
      </c>
      <c r="D24" s="4"/>
      <c r="E24" s="16">
        <v>1</v>
      </c>
      <c r="F24" s="6">
        <f>+H31</f>
        <v>4</v>
      </c>
      <c r="G24" s="14">
        <f t="shared" si="4"/>
        <v>75</v>
      </c>
      <c r="H24" s="45">
        <f t="shared" si="0"/>
        <v>300</v>
      </c>
      <c r="I24" s="16">
        <v>1</v>
      </c>
      <c r="J24" s="6">
        <f>+L31</f>
        <v>5</v>
      </c>
      <c r="K24" s="14">
        <f t="shared" si="5"/>
        <v>75</v>
      </c>
      <c r="L24" s="45">
        <f t="shared" si="1"/>
        <v>375</v>
      </c>
      <c r="M24" s="16">
        <v>1</v>
      </c>
      <c r="N24" s="6">
        <f>+P31</f>
        <v>6</v>
      </c>
      <c r="O24" s="14">
        <f t="shared" si="6"/>
        <v>75</v>
      </c>
      <c r="P24" s="45">
        <f t="shared" si="2"/>
        <v>450</v>
      </c>
      <c r="Q24" s="16">
        <v>1</v>
      </c>
      <c r="R24" s="6">
        <f>+T31</f>
        <v>6</v>
      </c>
      <c r="S24" s="14">
        <f t="shared" si="7"/>
        <v>75</v>
      </c>
      <c r="T24" s="45">
        <f t="shared" si="3"/>
        <v>450</v>
      </c>
    </row>
    <row r="25" spans="1:20">
      <c r="A25" s="4" t="s">
        <v>94</v>
      </c>
      <c r="B25" s="4" t="s">
        <v>71</v>
      </c>
      <c r="C25" s="4">
        <v>50</v>
      </c>
      <c r="D25" s="4"/>
      <c r="E25" s="16">
        <v>1</v>
      </c>
      <c r="F25" s="6">
        <f>+H31</f>
        <v>4</v>
      </c>
      <c r="G25" s="14">
        <f t="shared" si="4"/>
        <v>50</v>
      </c>
      <c r="H25" s="45">
        <f t="shared" si="0"/>
        <v>200</v>
      </c>
      <c r="I25" s="16">
        <v>1</v>
      </c>
      <c r="J25" s="6">
        <f>+L31</f>
        <v>5</v>
      </c>
      <c r="K25" s="14">
        <f t="shared" si="5"/>
        <v>50</v>
      </c>
      <c r="L25" s="45">
        <f t="shared" si="1"/>
        <v>250</v>
      </c>
      <c r="M25" s="16">
        <v>1</v>
      </c>
      <c r="N25" s="6">
        <f>+P31</f>
        <v>6</v>
      </c>
      <c r="O25" s="14">
        <f t="shared" si="6"/>
        <v>50</v>
      </c>
      <c r="P25" s="45">
        <f t="shared" si="2"/>
        <v>300</v>
      </c>
      <c r="Q25" s="16">
        <v>1</v>
      </c>
      <c r="R25" s="6">
        <f>+T31</f>
        <v>6</v>
      </c>
      <c r="S25" s="14">
        <f t="shared" si="7"/>
        <v>50</v>
      </c>
      <c r="T25" s="45">
        <f t="shared" si="3"/>
        <v>300</v>
      </c>
    </row>
    <row r="26" spans="1:20">
      <c r="A26" s="5" t="s">
        <v>95</v>
      </c>
      <c r="B26" s="5"/>
      <c r="C26" s="5"/>
      <c r="D26" s="43"/>
      <c r="E26" s="17"/>
      <c r="F26" s="5"/>
      <c r="G26" s="5"/>
      <c r="H26" s="46">
        <f>SUM(H19:H25)</f>
        <v>3100</v>
      </c>
      <c r="I26" s="17"/>
      <c r="J26" s="5"/>
      <c r="K26" s="5"/>
      <c r="L26" s="46">
        <f>SUM(L19:L25)</f>
        <v>3925</v>
      </c>
      <c r="M26" s="17"/>
      <c r="N26" s="5"/>
      <c r="O26" s="5"/>
      <c r="P26" s="46">
        <f>SUM(P19:P25)</f>
        <v>4750</v>
      </c>
      <c r="Q26" s="17"/>
      <c r="R26" s="5"/>
      <c r="S26" s="5"/>
      <c r="T26" s="46">
        <f>SUM(T19:T25)</f>
        <v>4750</v>
      </c>
    </row>
    <row r="27" spans="1:20">
      <c r="A27" s="4"/>
      <c r="B27" s="4"/>
      <c r="C27" s="4"/>
      <c r="D27" s="4"/>
      <c r="E27" s="13"/>
      <c r="F27" s="6"/>
      <c r="G27" s="6"/>
      <c r="H27" s="45"/>
      <c r="I27" s="13"/>
      <c r="J27" s="6"/>
      <c r="K27" s="6"/>
      <c r="L27" s="45"/>
      <c r="M27" s="13"/>
      <c r="N27" s="6"/>
      <c r="O27" s="6"/>
      <c r="P27" s="45"/>
      <c r="Q27" s="13"/>
      <c r="R27" s="6"/>
      <c r="S27" s="6"/>
      <c r="T27" s="45"/>
    </row>
    <row r="28" spans="1:20">
      <c r="A28" s="7" t="s">
        <v>96</v>
      </c>
      <c r="B28" s="7"/>
      <c r="C28" s="7"/>
      <c r="D28" s="7"/>
      <c r="E28" s="18"/>
      <c r="F28" s="7"/>
      <c r="G28" s="7"/>
      <c r="H28" s="47">
        <f>+H26+H16+H8</f>
        <v>8260</v>
      </c>
      <c r="I28" s="18"/>
      <c r="J28" s="7"/>
      <c r="K28" s="7"/>
      <c r="L28" s="47">
        <f>+L26+L16+L8</f>
        <v>11655</v>
      </c>
      <c r="M28" s="18"/>
      <c r="N28" s="7"/>
      <c r="O28" s="7"/>
      <c r="P28" s="47">
        <f>+P26+P16+P8</f>
        <v>15730</v>
      </c>
      <c r="Q28" s="18"/>
      <c r="R28" s="7"/>
      <c r="S28" s="7"/>
      <c r="T28" s="47">
        <f>+T26+T16+T8</f>
        <v>15730</v>
      </c>
    </row>
    <row r="29" spans="1:20">
      <c r="A29" s="4"/>
      <c r="B29" s="4"/>
      <c r="C29" s="4"/>
      <c r="D29" s="4"/>
      <c r="E29" s="13"/>
      <c r="F29" s="6"/>
      <c r="G29" s="6"/>
      <c r="H29" s="45"/>
      <c r="I29" s="13"/>
      <c r="J29" s="6"/>
      <c r="K29" s="6"/>
      <c r="L29" s="15"/>
      <c r="M29" s="13"/>
      <c r="N29" s="6"/>
      <c r="O29" s="6"/>
      <c r="P29" s="15"/>
      <c r="Q29" s="13"/>
      <c r="R29" s="6"/>
      <c r="S29" s="6"/>
      <c r="T29" s="15"/>
    </row>
    <row r="30" spans="1:20">
      <c r="A30" s="7" t="s">
        <v>97</v>
      </c>
      <c r="B30" s="7" t="s">
        <v>69</v>
      </c>
      <c r="C30" s="7"/>
      <c r="D30" s="7"/>
      <c r="E30" s="18"/>
      <c r="F30" s="7"/>
      <c r="G30" s="7"/>
      <c r="H30" s="47">
        <v>2</v>
      </c>
      <c r="I30" s="18"/>
      <c r="J30" s="7"/>
      <c r="K30" s="7"/>
      <c r="L30" s="19">
        <v>3</v>
      </c>
      <c r="M30" s="18"/>
      <c r="N30" s="7"/>
      <c r="O30" s="7"/>
      <c r="P30" s="19">
        <v>4</v>
      </c>
      <c r="Q30" s="18"/>
      <c r="R30" s="7"/>
      <c r="S30" s="7"/>
      <c r="T30" s="19">
        <v>4</v>
      </c>
    </row>
    <row r="31" spans="1:20" ht="15.75" thickBot="1">
      <c r="A31" s="8" t="s">
        <v>98</v>
      </c>
      <c r="B31" s="8" t="s">
        <v>71</v>
      </c>
      <c r="C31" s="8"/>
      <c r="D31" s="8"/>
      <c r="E31" s="20"/>
      <c r="F31" s="21"/>
      <c r="G31" s="21"/>
      <c r="H31" s="48">
        <v>4</v>
      </c>
      <c r="I31" s="20"/>
      <c r="J31" s="21"/>
      <c r="K31" s="21"/>
      <c r="L31" s="22">
        <v>5</v>
      </c>
      <c r="M31" s="20"/>
      <c r="N31" s="21"/>
      <c r="O31" s="21"/>
      <c r="P31" s="22">
        <v>6</v>
      </c>
      <c r="Q31" s="20"/>
      <c r="R31" s="21"/>
      <c r="S31" s="21"/>
      <c r="T31" s="22">
        <v>6</v>
      </c>
    </row>
    <row r="32" spans="1:20" ht="15.75" thickBot="1"/>
    <row r="33" spans="1:20">
      <c r="A33" s="1" t="s">
        <v>99</v>
      </c>
      <c r="C33" t="s">
        <v>100</v>
      </c>
      <c r="E33" s="10" t="s">
        <v>65</v>
      </c>
      <c r="F33" s="11" t="s">
        <v>66</v>
      </c>
      <c r="G33" s="11" t="s">
        <v>67</v>
      </c>
      <c r="H33" s="12">
        <v>42767</v>
      </c>
      <c r="I33" s="10" t="s">
        <v>65</v>
      </c>
      <c r="J33" s="11" t="s">
        <v>66</v>
      </c>
      <c r="K33" s="11" t="s">
        <v>67</v>
      </c>
      <c r="L33" s="12">
        <v>42856</v>
      </c>
      <c r="M33" s="10" t="s">
        <v>65</v>
      </c>
      <c r="N33" s="11" t="s">
        <v>66</v>
      </c>
      <c r="O33" s="11" t="s">
        <v>67</v>
      </c>
      <c r="P33" s="12">
        <v>43009</v>
      </c>
      <c r="Q33" s="10" t="s">
        <v>65</v>
      </c>
      <c r="R33" s="11" t="s">
        <v>66</v>
      </c>
      <c r="S33" s="11" t="s">
        <v>67</v>
      </c>
      <c r="T33" s="12">
        <v>43132</v>
      </c>
    </row>
    <row r="34" spans="1:20">
      <c r="A34" s="4" t="s">
        <v>101</v>
      </c>
      <c r="B34" s="4" t="s">
        <v>69</v>
      </c>
      <c r="C34" s="4">
        <v>50</v>
      </c>
      <c r="D34" s="4"/>
      <c r="E34" s="13"/>
      <c r="F34" s="6">
        <f>+H$31</f>
        <v>4</v>
      </c>
      <c r="G34" s="14">
        <f>C34</f>
        <v>50</v>
      </c>
      <c r="H34" s="45">
        <f>+E34*F34*G34</f>
        <v>0</v>
      </c>
      <c r="I34" s="13">
        <f>+L62</f>
        <v>3</v>
      </c>
      <c r="J34" s="6">
        <f>+L$31</f>
        <v>5</v>
      </c>
      <c r="K34" s="14">
        <f>G34</f>
        <v>50</v>
      </c>
      <c r="L34" s="45">
        <f>+I34*J34*K34</f>
        <v>750</v>
      </c>
      <c r="M34" s="13">
        <f>+P62</f>
        <v>4</v>
      </c>
      <c r="N34" s="6">
        <f>+P$31</f>
        <v>6</v>
      </c>
      <c r="O34" s="14">
        <f>K34</f>
        <v>50</v>
      </c>
      <c r="P34" s="45">
        <f>+M34*N34*O34</f>
        <v>1200</v>
      </c>
      <c r="Q34" s="13">
        <f>+T62</f>
        <v>4</v>
      </c>
      <c r="R34" s="6">
        <f>+T$31</f>
        <v>6</v>
      </c>
      <c r="S34" s="14">
        <f>O34</f>
        <v>50</v>
      </c>
      <c r="T34" s="45">
        <f>+Q34*R34*S34</f>
        <v>1200</v>
      </c>
    </row>
    <row r="35" spans="1:20">
      <c r="A35" s="4" t="s">
        <v>102</v>
      </c>
      <c r="B35" s="4" t="s">
        <v>71</v>
      </c>
      <c r="C35" s="4">
        <v>150</v>
      </c>
      <c r="D35" s="4"/>
      <c r="E35" s="13">
        <f>+H62</f>
        <v>2</v>
      </c>
      <c r="F35" s="6">
        <f>+H$31</f>
        <v>4</v>
      </c>
      <c r="G35" s="14">
        <f>C35</f>
        <v>150</v>
      </c>
      <c r="H35" s="45">
        <f>+E35*F35*G35</f>
        <v>1200</v>
      </c>
      <c r="I35" s="13">
        <f>+L62</f>
        <v>3</v>
      </c>
      <c r="J35" s="6">
        <f>+L$31</f>
        <v>5</v>
      </c>
      <c r="K35" s="14">
        <f>G35</f>
        <v>150</v>
      </c>
      <c r="L35" s="45">
        <f>+I35*J35*K35</f>
        <v>2250</v>
      </c>
      <c r="M35" s="13">
        <f>+P62</f>
        <v>4</v>
      </c>
      <c r="N35" s="6">
        <f>+P$31</f>
        <v>6</v>
      </c>
      <c r="O35" s="14">
        <f>K35</f>
        <v>150</v>
      </c>
      <c r="P35" s="45">
        <f>+M35*N35*O35</f>
        <v>3600</v>
      </c>
      <c r="Q35" s="13">
        <f>+T62</f>
        <v>4</v>
      </c>
      <c r="R35" s="6">
        <f>+T$31</f>
        <v>6</v>
      </c>
      <c r="S35" s="14">
        <f>O35</f>
        <v>150</v>
      </c>
      <c r="T35" s="45">
        <f>+Q35*R35*S35</f>
        <v>3600</v>
      </c>
    </row>
    <row r="36" spans="1:20">
      <c r="A36" s="4" t="s">
        <v>73</v>
      </c>
      <c r="B36" s="4" t="s">
        <v>71</v>
      </c>
      <c r="C36" s="42">
        <v>60</v>
      </c>
      <c r="D36" s="4"/>
      <c r="E36" s="13">
        <f>+H62</f>
        <v>2</v>
      </c>
      <c r="F36" s="14">
        <v>1</v>
      </c>
      <c r="G36" s="14">
        <f>C36</f>
        <v>60</v>
      </c>
      <c r="H36" s="45">
        <f>+E36*F36*G36</f>
        <v>120</v>
      </c>
      <c r="I36" s="13">
        <f>+L62</f>
        <v>3</v>
      </c>
      <c r="J36" s="14">
        <v>1</v>
      </c>
      <c r="K36" s="14">
        <f>G36</f>
        <v>60</v>
      </c>
      <c r="L36" s="45">
        <f>+I36*J36*K36</f>
        <v>180</v>
      </c>
      <c r="M36" s="13">
        <f>+P62</f>
        <v>4</v>
      </c>
      <c r="N36" s="14">
        <v>1</v>
      </c>
      <c r="O36" s="14">
        <f>K36</f>
        <v>60</v>
      </c>
      <c r="P36" s="45">
        <f>+M36*N36*O36</f>
        <v>240</v>
      </c>
      <c r="Q36" s="13">
        <f>+T62</f>
        <v>4</v>
      </c>
      <c r="R36" s="14">
        <v>1</v>
      </c>
      <c r="S36" s="14">
        <f>O36</f>
        <v>60</v>
      </c>
      <c r="T36" s="45">
        <f>+Q36*R36*S36</f>
        <v>240</v>
      </c>
    </row>
    <row r="37" spans="1:20">
      <c r="A37" s="4" t="s">
        <v>75</v>
      </c>
      <c r="B37" s="4" t="s">
        <v>71</v>
      </c>
      <c r="C37" s="42">
        <f>500/10</f>
        <v>50</v>
      </c>
      <c r="D37" s="4"/>
      <c r="E37" s="13">
        <f>+H62</f>
        <v>2</v>
      </c>
      <c r="F37" s="6">
        <f>+H63</f>
        <v>4</v>
      </c>
      <c r="G37" s="14">
        <f>C37</f>
        <v>50</v>
      </c>
      <c r="H37" s="45">
        <f>+E37*F37*G37</f>
        <v>400</v>
      </c>
      <c r="I37" s="13">
        <f>+L62</f>
        <v>3</v>
      </c>
      <c r="J37" s="6">
        <f>+L63</f>
        <v>5</v>
      </c>
      <c r="K37" s="14">
        <f>G37</f>
        <v>50</v>
      </c>
      <c r="L37" s="45">
        <f>+I37*J37*K37</f>
        <v>750</v>
      </c>
      <c r="M37" s="13">
        <f>+P62</f>
        <v>4</v>
      </c>
      <c r="N37" s="6">
        <f>+P63</f>
        <v>6</v>
      </c>
      <c r="O37" s="14">
        <f>K37</f>
        <v>50</v>
      </c>
      <c r="P37" s="45">
        <f>+M37*N37*O37</f>
        <v>1200</v>
      </c>
      <c r="Q37" s="13">
        <f>+T62</f>
        <v>4</v>
      </c>
      <c r="R37" s="6">
        <f>+T63</f>
        <v>6</v>
      </c>
      <c r="S37" s="14">
        <f>O37</f>
        <v>50</v>
      </c>
      <c r="T37" s="45">
        <f>+Q37*R37*S37</f>
        <v>1200</v>
      </c>
    </row>
    <row r="38" spans="1:20">
      <c r="A38" s="4" t="s">
        <v>103</v>
      </c>
      <c r="B38" s="4" t="s">
        <v>71</v>
      </c>
      <c r="C38" s="4">
        <v>15</v>
      </c>
      <c r="D38" s="4"/>
      <c r="E38" s="16">
        <v>8</v>
      </c>
      <c r="F38" s="6">
        <f>+H$31</f>
        <v>4</v>
      </c>
      <c r="G38" s="14">
        <v>15</v>
      </c>
      <c r="H38" s="45">
        <f>+E38*F38*G38</f>
        <v>480</v>
      </c>
      <c r="I38" s="16">
        <v>8</v>
      </c>
      <c r="J38" s="6">
        <f>+L$31</f>
        <v>5</v>
      </c>
      <c r="K38" s="14">
        <v>15</v>
      </c>
      <c r="L38" s="45">
        <f>+I38*J38*K38</f>
        <v>600</v>
      </c>
      <c r="M38" s="16">
        <v>10</v>
      </c>
      <c r="N38" s="6">
        <f>+P$31</f>
        <v>6</v>
      </c>
      <c r="O38" s="14">
        <f>K38</f>
        <v>15</v>
      </c>
      <c r="P38" s="45">
        <f>+M38*N38*O38</f>
        <v>900</v>
      </c>
      <c r="Q38" s="16">
        <v>10</v>
      </c>
      <c r="R38" s="6">
        <f>+T$31</f>
        <v>6</v>
      </c>
      <c r="S38" s="14">
        <f>O38</f>
        <v>15</v>
      </c>
      <c r="T38" s="45">
        <f>+Q38*R38*S38</f>
        <v>900</v>
      </c>
    </row>
    <row r="39" spans="1:20">
      <c r="A39" s="4" t="s">
        <v>77</v>
      </c>
      <c r="B39" s="4"/>
      <c r="C39" s="4"/>
      <c r="D39" s="4"/>
      <c r="E39" s="16"/>
      <c r="F39" s="6"/>
      <c r="G39" s="14"/>
      <c r="H39" s="45">
        <v>400</v>
      </c>
      <c r="I39" s="16"/>
      <c r="J39" s="6"/>
      <c r="K39" s="14"/>
      <c r="L39" s="45"/>
      <c r="M39" s="16"/>
      <c r="N39" s="6"/>
      <c r="O39" s="14"/>
      <c r="P39" s="45"/>
      <c r="Q39" s="16"/>
      <c r="R39" s="6"/>
      <c r="S39" s="14"/>
      <c r="T39" s="45"/>
    </row>
    <row r="40" spans="1:20">
      <c r="A40" s="5" t="s">
        <v>78</v>
      </c>
      <c r="B40" s="5"/>
      <c r="C40" s="5"/>
      <c r="D40" s="5"/>
      <c r="E40" s="17"/>
      <c r="F40" s="5"/>
      <c r="G40" s="5"/>
      <c r="H40" s="46">
        <f>SUM(H34:H39)</f>
        <v>2600</v>
      </c>
      <c r="I40" s="17"/>
      <c r="J40" s="5"/>
      <c r="K40" s="5"/>
      <c r="L40" s="46">
        <f>SUM(L34:L38)</f>
        <v>4530</v>
      </c>
      <c r="M40" s="17"/>
      <c r="N40" s="5"/>
      <c r="O40" s="5"/>
      <c r="P40" s="46">
        <f>SUM(P34:P38)</f>
        <v>7140</v>
      </c>
      <c r="Q40" s="17"/>
      <c r="R40" s="5"/>
      <c r="S40" s="5"/>
      <c r="T40" s="46">
        <f>SUM(T34:T38)</f>
        <v>7140</v>
      </c>
    </row>
    <row r="41" spans="1:20">
      <c r="A41" s="4"/>
      <c r="B41" s="4"/>
      <c r="C41" s="4"/>
      <c r="D41" s="4"/>
      <c r="E41" s="13"/>
      <c r="F41" s="6"/>
      <c r="G41" s="6"/>
      <c r="H41" s="45"/>
      <c r="I41" s="13"/>
      <c r="J41" s="6"/>
      <c r="K41" s="6"/>
      <c r="L41" s="45"/>
      <c r="M41" s="13"/>
      <c r="N41" s="6"/>
      <c r="O41" s="6"/>
      <c r="P41" s="45"/>
      <c r="Q41" s="13"/>
      <c r="R41" s="6"/>
      <c r="S41" s="6"/>
      <c r="T41" s="45"/>
    </row>
    <row r="42" spans="1:20">
      <c r="A42" s="4" t="s">
        <v>79</v>
      </c>
      <c r="B42" s="4"/>
      <c r="C42" s="4"/>
      <c r="D42" s="4"/>
      <c r="E42" s="13"/>
      <c r="F42" s="6"/>
      <c r="G42" s="6"/>
      <c r="H42" s="45"/>
      <c r="I42" s="13"/>
      <c r="J42" s="6"/>
      <c r="K42" s="6"/>
      <c r="L42" s="45"/>
      <c r="M42" s="13"/>
      <c r="N42" s="6"/>
      <c r="O42" s="6"/>
      <c r="P42" s="45"/>
      <c r="Q42" s="13"/>
      <c r="R42" s="6"/>
      <c r="S42" s="6"/>
      <c r="T42" s="45"/>
    </row>
    <row r="43" spans="1:20">
      <c r="A43" s="4" t="s">
        <v>80</v>
      </c>
      <c r="B43" s="4" t="s">
        <v>71</v>
      </c>
      <c r="C43" s="4">
        <v>150</v>
      </c>
      <c r="D43" s="4"/>
      <c r="E43" s="16">
        <v>1</v>
      </c>
      <c r="F43" s="6">
        <f>+H63*1.2</f>
        <v>4.8</v>
      </c>
      <c r="G43" s="14">
        <f>C43</f>
        <v>150</v>
      </c>
      <c r="H43" s="45">
        <f>+E43*F43*G43</f>
        <v>720</v>
      </c>
      <c r="I43" s="16">
        <v>1</v>
      </c>
      <c r="J43" s="6">
        <f>+L63*1.2</f>
        <v>6</v>
      </c>
      <c r="K43" s="14">
        <f>G43</f>
        <v>150</v>
      </c>
      <c r="L43" s="45">
        <f>+I43*J43*K43</f>
        <v>900</v>
      </c>
      <c r="M43" s="16">
        <v>1</v>
      </c>
      <c r="N43" s="6">
        <f>+P63*1.2</f>
        <v>7.1999999999999993</v>
      </c>
      <c r="O43" s="14">
        <f>K43</f>
        <v>150</v>
      </c>
      <c r="P43" s="45">
        <f>+M43*N43*O43</f>
        <v>1080</v>
      </c>
      <c r="Q43" s="16">
        <v>1</v>
      </c>
      <c r="R43" s="6">
        <f>+T63*1.2</f>
        <v>7.1999999999999993</v>
      </c>
      <c r="S43" s="14">
        <f>O43</f>
        <v>150</v>
      </c>
      <c r="T43" s="45">
        <f>+Q43*R43*S43</f>
        <v>1080</v>
      </c>
    </row>
    <row r="44" spans="1:20">
      <c r="A44" s="4" t="s">
        <v>81</v>
      </c>
      <c r="B44" s="4" t="s">
        <v>71</v>
      </c>
      <c r="C44" s="4">
        <v>120</v>
      </c>
      <c r="D44" s="4"/>
      <c r="E44" s="16">
        <v>2</v>
      </c>
      <c r="F44" s="6">
        <f>+H63</f>
        <v>4</v>
      </c>
      <c r="G44" s="14">
        <f>C44</f>
        <v>120</v>
      </c>
      <c r="H44" s="45">
        <f>+E44*F44*G44</f>
        <v>960</v>
      </c>
      <c r="I44" s="16">
        <v>2</v>
      </c>
      <c r="J44" s="6">
        <f>+L63</f>
        <v>5</v>
      </c>
      <c r="K44" s="14">
        <f>G44</f>
        <v>120</v>
      </c>
      <c r="L44" s="45">
        <f>+I44*J44*K44</f>
        <v>1200</v>
      </c>
      <c r="M44" s="16">
        <v>2</v>
      </c>
      <c r="N44" s="6">
        <f>+P63</f>
        <v>6</v>
      </c>
      <c r="O44" s="14">
        <f>K44</f>
        <v>120</v>
      </c>
      <c r="P44" s="45">
        <f>+M44*N44*O44</f>
        <v>1440</v>
      </c>
      <c r="Q44" s="16">
        <v>2</v>
      </c>
      <c r="R44" s="6">
        <f>+T63</f>
        <v>6</v>
      </c>
      <c r="S44" s="14">
        <f>O44</f>
        <v>120</v>
      </c>
      <c r="T44" s="45">
        <f>+Q44*R44*S44</f>
        <v>1440</v>
      </c>
    </row>
    <row r="45" spans="1:20">
      <c r="A45" s="4" t="s">
        <v>82</v>
      </c>
      <c r="B45" s="4" t="s">
        <v>71</v>
      </c>
      <c r="C45" s="4">
        <v>50</v>
      </c>
      <c r="D45" s="4"/>
      <c r="E45" s="16">
        <v>1</v>
      </c>
      <c r="F45" s="6">
        <f>+H63*1.2</f>
        <v>4.8</v>
      </c>
      <c r="G45" s="14">
        <f>C45</f>
        <v>50</v>
      </c>
      <c r="H45" s="45">
        <f>+E45*F45*G45</f>
        <v>240</v>
      </c>
      <c r="I45" s="16">
        <v>1</v>
      </c>
      <c r="J45" s="6">
        <f>+L63*1.2</f>
        <v>6</v>
      </c>
      <c r="K45" s="14">
        <f>G45</f>
        <v>50</v>
      </c>
      <c r="L45" s="45">
        <f>+I45*J45*K45</f>
        <v>300</v>
      </c>
      <c r="M45" s="16">
        <v>1</v>
      </c>
      <c r="N45" s="6">
        <f>+P63*1.2</f>
        <v>7.1999999999999993</v>
      </c>
      <c r="O45" s="14">
        <f>K45</f>
        <v>50</v>
      </c>
      <c r="P45" s="45">
        <f>+M45*N45*O45</f>
        <v>359.99999999999994</v>
      </c>
      <c r="Q45" s="16">
        <v>1</v>
      </c>
      <c r="R45" s="6">
        <f>+T63*1.2</f>
        <v>7.1999999999999993</v>
      </c>
      <c r="S45" s="14">
        <f>O45</f>
        <v>50</v>
      </c>
      <c r="T45" s="45">
        <f>+Q45*R45*S45</f>
        <v>359.99999999999994</v>
      </c>
    </row>
    <row r="46" spans="1:20">
      <c r="A46" s="4" t="s">
        <v>83</v>
      </c>
      <c r="B46" s="4" t="s">
        <v>71</v>
      </c>
      <c r="C46" s="4">
        <v>80</v>
      </c>
      <c r="D46" s="4"/>
      <c r="E46" s="16">
        <v>1</v>
      </c>
      <c r="F46" s="6">
        <f>+H63</f>
        <v>4</v>
      </c>
      <c r="G46" s="14">
        <f>C46</f>
        <v>80</v>
      </c>
      <c r="H46" s="45">
        <f>+E46*F46*G46</f>
        <v>320</v>
      </c>
      <c r="I46" s="16">
        <v>1</v>
      </c>
      <c r="J46" s="6">
        <f>+L63</f>
        <v>5</v>
      </c>
      <c r="K46" s="14">
        <f>G46</f>
        <v>80</v>
      </c>
      <c r="L46" s="45">
        <f>+I46*J46*K46</f>
        <v>400</v>
      </c>
      <c r="M46" s="16">
        <v>1</v>
      </c>
      <c r="N46" s="6">
        <f>+P63</f>
        <v>6</v>
      </c>
      <c r="O46" s="14">
        <f>K46</f>
        <v>80</v>
      </c>
      <c r="P46" s="45">
        <f>+M46*N46*O46</f>
        <v>480</v>
      </c>
      <c r="Q46" s="16">
        <v>1</v>
      </c>
      <c r="R46" s="6">
        <f>+T63</f>
        <v>6</v>
      </c>
      <c r="S46" s="14">
        <f>O46</f>
        <v>80</v>
      </c>
      <c r="T46" s="45">
        <f>+Q46*R46*S46</f>
        <v>480</v>
      </c>
    </row>
    <row r="47" spans="1:20">
      <c r="A47" s="4" t="s">
        <v>84</v>
      </c>
      <c r="B47" s="4" t="s">
        <v>71</v>
      </c>
      <c r="C47" s="4">
        <v>40</v>
      </c>
      <c r="D47" s="4"/>
      <c r="E47" s="16">
        <v>2</v>
      </c>
      <c r="F47" s="6">
        <f>+H63</f>
        <v>4</v>
      </c>
      <c r="G47" s="14">
        <f>C47</f>
        <v>40</v>
      </c>
      <c r="H47" s="45">
        <f>+E47*F47*G47</f>
        <v>320</v>
      </c>
      <c r="I47" s="16">
        <v>2</v>
      </c>
      <c r="J47" s="6">
        <f>+L63</f>
        <v>5</v>
      </c>
      <c r="K47" s="14">
        <f>G47</f>
        <v>40</v>
      </c>
      <c r="L47" s="45">
        <f>+I47*J47*K47</f>
        <v>400</v>
      </c>
      <c r="M47" s="16">
        <v>2</v>
      </c>
      <c r="N47" s="6">
        <f>+P63</f>
        <v>6</v>
      </c>
      <c r="O47" s="14">
        <f>K47</f>
        <v>40</v>
      </c>
      <c r="P47" s="45">
        <f>+M47*N47*O47</f>
        <v>480</v>
      </c>
      <c r="Q47" s="16">
        <v>2</v>
      </c>
      <c r="R47" s="6">
        <f>+T63</f>
        <v>6</v>
      </c>
      <c r="S47" s="14">
        <f>O47</f>
        <v>40</v>
      </c>
      <c r="T47" s="45">
        <f>+Q47*R47*S47</f>
        <v>480</v>
      </c>
    </row>
    <row r="48" spans="1:20">
      <c r="A48" s="5" t="s">
        <v>85</v>
      </c>
      <c r="B48" s="5"/>
      <c r="C48" s="5"/>
      <c r="D48" s="43"/>
      <c r="E48" s="17"/>
      <c r="F48" s="5"/>
      <c r="G48" s="5"/>
      <c r="H48" s="46">
        <f>SUM(H43:H47)</f>
        <v>2560</v>
      </c>
      <c r="I48" s="17"/>
      <c r="J48" s="5"/>
      <c r="K48" s="5"/>
      <c r="L48" s="46">
        <f>SUM(L43:L47)</f>
        <v>3200</v>
      </c>
      <c r="M48" s="17"/>
      <c r="N48" s="5"/>
      <c r="O48" s="5"/>
      <c r="P48" s="46">
        <f>SUM(P43:P47)</f>
        <v>3840</v>
      </c>
      <c r="Q48" s="17"/>
      <c r="R48" s="5"/>
      <c r="S48" s="5"/>
      <c r="T48" s="46">
        <f>SUM(T43:T47)</f>
        <v>3840</v>
      </c>
    </row>
    <row r="49" spans="1:20">
      <c r="A49" s="4"/>
      <c r="B49" s="4"/>
      <c r="C49" s="4"/>
      <c r="D49" s="4"/>
      <c r="E49" s="13"/>
      <c r="F49" s="6"/>
      <c r="G49" s="6"/>
      <c r="H49" s="45"/>
      <c r="I49" s="13"/>
      <c r="J49" s="6"/>
      <c r="K49" s="6"/>
      <c r="L49" s="45"/>
      <c r="M49" s="13"/>
      <c r="N49" s="6"/>
      <c r="O49" s="6"/>
      <c r="P49" s="45"/>
      <c r="Q49" s="13"/>
      <c r="R49" s="6"/>
      <c r="S49" s="6"/>
      <c r="T49" s="45"/>
    </row>
    <row r="50" spans="1:20">
      <c r="A50" s="4" t="s">
        <v>86</v>
      </c>
      <c r="B50" s="4"/>
      <c r="C50" s="4"/>
      <c r="D50" s="4"/>
      <c r="E50" s="13"/>
      <c r="F50" s="6"/>
      <c r="G50" s="6"/>
      <c r="H50" s="45"/>
      <c r="I50" s="13"/>
      <c r="J50" s="6"/>
      <c r="K50" s="6"/>
      <c r="L50" s="45"/>
      <c r="M50" s="13"/>
      <c r="N50" s="6"/>
      <c r="O50" s="6"/>
      <c r="P50" s="45"/>
      <c r="Q50" s="13"/>
      <c r="R50" s="6"/>
      <c r="S50" s="6"/>
      <c r="T50" s="45"/>
    </row>
    <row r="51" spans="1:20">
      <c r="A51" s="4" t="s">
        <v>87</v>
      </c>
      <c r="B51" s="4" t="s">
        <v>71</v>
      </c>
      <c r="C51" s="4">
        <v>150</v>
      </c>
      <c r="D51" s="4"/>
      <c r="E51" s="16">
        <v>1</v>
      </c>
      <c r="F51" s="6">
        <f>+H63</f>
        <v>4</v>
      </c>
      <c r="G51" s="14">
        <f>C51</f>
        <v>150</v>
      </c>
      <c r="H51" s="45">
        <f t="shared" ref="H51:H57" si="8">+E51*F51*G51</f>
        <v>600</v>
      </c>
      <c r="I51" s="16">
        <v>1</v>
      </c>
      <c r="J51" s="6">
        <f>+L63</f>
        <v>5</v>
      </c>
      <c r="K51" s="14">
        <f>G51</f>
        <v>150</v>
      </c>
      <c r="L51" s="45">
        <f t="shared" ref="L51:L57" si="9">+I51*J51*K51</f>
        <v>750</v>
      </c>
      <c r="M51" s="16">
        <v>1</v>
      </c>
      <c r="N51" s="6">
        <f>+P63</f>
        <v>6</v>
      </c>
      <c r="O51" s="14">
        <f>K51</f>
        <v>150</v>
      </c>
      <c r="P51" s="45">
        <f t="shared" ref="P51:P57" si="10">+M51*N51*O51</f>
        <v>900</v>
      </c>
      <c r="Q51" s="16">
        <v>1</v>
      </c>
      <c r="R51" s="6">
        <f>+T63</f>
        <v>6</v>
      </c>
      <c r="S51" s="14">
        <f>O51</f>
        <v>150</v>
      </c>
      <c r="T51" s="45">
        <f t="shared" ref="T51:T57" si="11">+Q51*R51*S51</f>
        <v>900</v>
      </c>
    </row>
    <row r="52" spans="1:20">
      <c r="A52" s="4" t="s">
        <v>88</v>
      </c>
      <c r="B52" s="4" t="s">
        <v>71</v>
      </c>
      <c r="C52" s="4">
        <v>50</v>
      </c>
      <c r="D52" s="4"/>
      <c r="E52" s="16">
        <v>1</v>
      </c>
      <c r="F52" s="6">
        <f>+H63</f>
        <v>4</v>
      </c>
      <c r="G52" s="14">
        <f t="shared" ref="G52:G57" si="12">C52</f>
        <v>50</v>
      </c>
      <c r="H52" s="45">
        <f t="shared" si="8"/>
        <v>200</v>
      </c>
      <c r="I52" s="16">
        <v>1</v>
      </c>
      <c r="J52" s="6">
        <f>+L63</f>
        <v>5</v>
      </c>
      <c r="K52" s="14">
        <f t="shared" ref="K52:K57" si="13">G52</f>
        <v>50</v>
      </c>
      <c r="L52" s="45">
        <f t="shared" si="9"/>
        <v>250</v>
      </c>
      <c r="M52" s="16">
        <v>1</v>
      </c>
      <c r="N52" s="6">
        <f>+P63</f>
        <v>6</v>
      </c>
      <c r="O52" s="14">
        <f t="shared" ref="O52:O57" si="14">K52</f>
        <v>50</v>
      </c>
      <c r="P52" s="45">
        <f t="shared" si="10"/>
        <v>300</v>
      </c>
      <c r="Q52" s="16">
        <v>1</v>
      </c>
      <c r="R52" s="6">
        <f>+T63</f>
        <v>6</v>
      </c>
      <c r="S52" s="14">
        <f t="shared" ref="S52:S57" si="15">O52</f>
        <v>50</v>
      </c>
      <c r="T52" s="45">
        <f t="shared" si="11"/>
        <v>300</v>
      </c>
    </row>
    <row r="53" spans="1:20">
      <c r="A53" s="4" t="s">
        <v>89</v>
      </c>
      <c r="B53" s="4" t="s">
        <v>69</v>
      </c>
      <c r="C53" s="4">
        <v>500</v>
      </c>
      <c r="D53" s="4"/>
      <c r="E53" s="13">
        <f>+H62</f>
        <v>2</v>
      </c>
      <c r="F53" s="14">
        <v>1</v>
      </c>
      <c r="G53" s="14">
        <f t="shared" si="12"/>
        <v>500</v>
      </c>
      <c r="H53" s="45">
        <f t="shared" si="8"/>
        <v>1000</v>
      </c>
      <c r="I53" s="13">
        <f>+L62</f>
        <v>3</v>
      </c>
      <c r="J53" s="14">
        <v>1</v>
      </c>
      <c r="K53" s="14">
        <f t="shared" si="13"/>
        <v>500</v>
      </c>
      <c r="L53" s="45">
        <f t="shared" si="9"/>
        <v>1500</v>
      </c>
      <c r="M53" s="13">
        <f>+P62</f>
        <v>4</v>
      </c>
      <c r="N53" s="14">
        <v>1</v>
      </c>
      <c r="O53" s="14">
        <f t="shared" si="14"/>
        <v>500</v>
      </c>
      <c r="P53" s="45">
        <f t="shared" si="10"/>
        <v>2000</v>
      </c>
      <c r="Q53" s="13">
        <f>+T62</f>
        <v>4</v>
      </c>
      <c r="R53" s="14">
        <v>1</v>
      </c>
      <c r="S53" s="14">
        <f t="shared" si="15"/>
        <v>500</v>
      </c>
      <c r="T53" s="45">
        <f t="shared" si="11"/>
        <v>2000</v>
      </c>
    </row>
    <row r="54" spans="1:20">
      <c r="A54" s="4" t="s">
        <v>90</v>
      </c>
      <c r="B54" s="4" t="s">
        <v>91</v>
      </c>
      <c r="C54" s="4">
        <v>500</v>
      </c>
      <c r="D54" s="4"/>
      <c r="E54" s="16">
        <v>1</v>
      </c>
      <c r="F54" s="14">
        <v>1</v>
      </c>
      <c r="G54" s="14">
        <f t="shared" si="12"/>
        <v>500</v>
      </c>
      <c r="H54" s="45">
        <f t="shared" si="8"/>
        <v>500</v>
      </c>
      <c r="I54" s="16">
        <v>1</v>
      </c>
      <c r="J54" s="14">
        <v>1</v>
      </c>
      <c r="K54" s="14">
        <f t="shared" si="13"/>
        <v>500</v>
      </c>
      <c r="L54" s="45">
        <f t="shared" si="9"/>
        <v>500</v>
      </c>
      <c r="M54" s="16">
        <v>1</v>
      </c>
      <c r="N54" s="14">
        <v>1</v>
      </c>
      <c r="O54" s="14">
        <f t="shared" si="14"/>
        <v>500</v>
      </c>
      <c r="P54" s="45">
        <f t="shared" si="10"/>
        <v>500</v>
      </c>
      <c r="Q54" s="16">
        <v>1</v>
      </c>
      <c r="R54" s="14">
        <v>1</v>
      </c>
      <c r="S54" s="14">
        <f t="shared" si="15"/>
        <v>500</v>
      </c>
      <c r="T54" s="45">
        <f t="shared" si="11"/>
        <v>500</v>
      </c>
    </row>
    <row r="55" spans="1:20">
      <c r="A55" s="4" t="s">
        <v>92</v>
      </c>
      <c r="B55" s="4" t="s">
        <v>91</v>
      </c>
      <c r="C55" s="4">
        <v>300</v>
      </c>
      <c r="D55" s="4"/>
      <c r="E55" s="16">
        <v>1</v>
      </c>
      <c r="F55" s="14">
        <v>1</v>
      </c>
      <c r="G55" s="14">
        <f t="shared" si="12"/>
        <v>300</v>
      </c>
      <c r="H55" s="45">
        <f t="shared" si="8"/>
        <v>300</v>
      </c>
      <c r="I55" s="16">
        <v>1</v>
      </c>
      <c r="J55" s="14">
        <v>1</v>
      </c>
      <c r="K55" s="14">
        <f t="shared" si="13"/>
        <v>300</v>
      </c>
      <c r="L55" s="45">
        <f t="shared" si="9"/>
        <v>300</v>
      </c>
      <c r="M55" s="16">
        <v>1</v>
      </c>
      <c r="N55" s="14">
        <v>1</v>
      </c>
      <c r="O55" s="14">
        <f t="shared" si="14"/>
        <v>300</v>
      </c>
      <c r="P55" s="45">
        <f t="shared" si="10"/>
        <v>300</v>
      </c>
      <c r="Q55" s="16">
        <v>1</v>
      </c>
      <c r="R55" s="14">
        <v>1</v>
      </c>
      <c r="S55" s="14">
        <f t="shared" si="15"/>
        <v>300</v>
      </c>
      <c r="T55" s="45">
        <f t="shared" si="11"/>
        <v>300</v>
      </c>
    </row>
    <row r="56" spans="1:20">
      <c r="A56" s="4" t="s">
        <v>93</v>
      </c>
      <c r="B56" s="4" t="s">
        <v>71</v>
      </c>
      <c r="C56" s="4">
        <v>75</v>
      </c>
      <c r="D56" s="4"/>
      <c r="E56" s="16">
        <v>1</v>
      </c>
      <c r="F56" s="6">
        <f>+H63</f>
        <v>4</v>
      </c>
      <c r="G56" s="14">
        <f t="shared" si="12"/>
        <v>75</v>
      </c>
      <c r="H56" s="45">
        <f t="shared" si="8"/>
        <v>300</v>
      </c>
      <c r="I56" s="16">
        <v>1</v>
      </c>
      <c r="J56" s="6">
        <f>+L63</f>
        <v>5</v>
      </c>
      <c r="K56" s="14">
        <f t="shared" si="13"/>
        <v>75</v>
      </c>
      <c r="L56" s="45">
        <f t="shared" si="9"/>
        <v>375</v>
      </c>
      <c r="M56" s="16">
        <v>1</v>
      </c>
      <c r="N56" s="6">
        <f>+P63</f>
        <v>6</v>
      </c>
      <c r="O56" s="14">
        <f t="shared" si="14"/>
        <v>75</v>
      </c>
      <c r="P56" s="45">
        <f t="shared" si="10"/>
        <v>450</v>
      </c>
      <c r="Q56" s="16">
        <v>1</v>
      </c>
      <c r="R56" s="6">
        <f>+T63</f>
        <v>6</v>
      </c>
      <c r="S56" s="14">
        <f t="shared" si="15"/>
        <v>75</v>
      </c>
      <c r="T56" s="45">
        <f t="shared" si="11"/>
        <v>450</v>
      </c>
    </row>
    <row r="57" spans="1:20">
      <c r="A57" s="4" t="s">
        <v>94</v>
      </c>
      <c r="B57" s="4" t="s">
        <v>71</v>
      </c>
      <c r="C57" s="4">
        <v>50</v>
      </c>
      <c r="D57" s="4"/>
      <c r="E57" s="16">
        <v>1</v>
      </c>
      <c r="F57" s="6">
        <f>+H63</f>
        <v>4</v>
      </c>
      <c r="G57" s="14">
        <f t="shared" si="12"/>
        <v>50</v>
      </c>
      <c r="H57" s="45">
        <f t="shared" si="8"/>
        <v>200</v>
      </c>
      <c r="I57" s="16">
        <v>1</v>
      </c>
      <c r="J57" s="6">
        <f>+L63</f>
        <v>5</v>
      </c>
      <c r="K57" s="14">
        <f t="shared" si="13"/>
        <v>50</v>
      </c>
      <c r="L57" s="45">
        <f t="shared" si="9"/>
        <v>250</v>
      </c>
      <c r="M57" s="16">
        <v>1</v>
      </c>
      <c r="N57" s="6">
        <f>+P63</f>
        <v>6</v>
      </c>
      <c r="O57" s="14">
        <f t="shared" si="14"/>
        <v>50</v>
      </c>
      <c r="P57" s="45">
        <f t="shared" si="10"/>
        <v>300</v>
      </c>
      <c r="Q57" s="16">
        <v>1</v>
      </c>
      <c r="R57" s="6">
        <f>+T63</f>
        <v>6</v>
      </c>
      <c r="S57" s="14">
        <f t="shared" si="15"/>
        <v>50</v>
      </c>
      <c r="T57" s="45">
        <f t="shared" si="11"/>
        <v>300</v>
      </c>
    </row>
    <row r="58" spans="1:20">
      <c r="A58" s="5" t="s">
        <v>95</v>
      </c>
      <c r="B58" s="5"/>
      <c r="C58" s="5"/>
      <c r="D58" s="43"/>
      <c r="E58" s="17"/>
      <c r="F58" s="5"/>
      <c r="G58" s="5"/>
      <c r="H58" s="46">
        <f>SUM(H51:H57)</f>
        <v>3100</v>
      </c>
      <c r="I58" s="17"/>
      <c r="J58" s="5"/>
      <c r="K58" s="5"/>
      <c r="L58" s="46">
        <f>SUM(L51:L57)</f>
        <v>3925</v>
      </c>
      <c r="M58" s="17"/>
      <c r="N58" s="5"/>
      <c r="O58" s="5"/>
      <c r="P58" s="46">
        <f>SUM(P51:P57)</f>
        <v>4750</v>
      </c>
      <c r="Q58" s="17"/>
      <c r="R58" s="5"/>
      <c r="S58" s="5"/>
      <c r="T58" s="46">
        <f>SUM(T51:T57)</f>
        <v>4750</v>
      </c>
    </row>
    <row r="59" spans="1:20">
      <c r="A59" s="4"/>
      <c r="B59" s="4"/>
      <c r="C59" s="4"/>
      <c r="D59" s="4"/>
      <c r="E59" s="13"/>
      <c r="F59" s="6"/>
      <c r="G59" s="6"/>
      <c r="H59" s="45"/>
      <c r="I59" s="13"/>
      <c r="J59" s="6"/>
      <c r="K59" s="6"/>
      <c r="L59" s="45"/>
      <c r="M59" s="13"/>
      <c r="N59" s="6"/>
      <c r="O59" s="6"/>
      <c r="P59" s="45"/>
      <c r="Q59" s="13"/>
      <c r="R59" s="6"/>
      <c r="S59" s="6"/>
      <c r="T59" s="45"/>
    </row>
    <row r="60" spans="1:20">
      <c r="A60" s="7" t="s">
        <v>104</v>
      </c>
      <c r="B60" s="7"/>
      <c r="C60" s="7"/>
      <c r="D60" s="7"/>
      <c r="E60" s="18"/>
      <c r="F60" s="7"/>
      <c r="G60" s="7"/>
      <c r="H60" s="47">
        <f>+H58+H48+H40</f>
        <v>8260</v>
      </c>
      <c r="I60" s="18"/>
      <c r="J60" s="7"/>
      <c r="K60" s="7"/>
      <c r="L60" s="47">
        <f>+L58+L48+L40</f>
        <v>11655</v>
      </c>
      <c r="M60" s="18"/>
      <c r="N60" s="7"/>
      <c r="O60" s="7"/>
      <c r="P60" s="47">
        <f>+P58+P48+P40</f>
        <v>15730</v>
      </c>
      <c r="Q60" s="18"/>
      <c r="R60" s="7"/>
      <c r="S60" s="7"/>
      <c r="T60" s="47">
        <f>+T58+T48+T40</f>
        <v>15730</v>
      </c>
    </row>
    <row r="61" spans="1:20">
      <c r="A61" s="4"/>
      <c r="B61" s="4"/>
      <c r="C61" s="4"/>
      <c r="D61" s="4"/>
      <c r="E61" s="13"/>
      <c r="F61" s="6"/>
      <c r="G61" s="6"/>
      <c r="H61" s="15"/>
      <c r="I61" s="13"/>
      <c r="J61" s="6"/>
      <c r="K61" s="6"/>
      <c r="L61" s="15"/>
      <c r="M61" s="13"/>
      <c r="N61" s="6"/>
      <c r="O61" s="6"/>
      <c r="P61" s="15"/>
      <c r="Q61" s="13"/>
      <c r="R61" s="6"/>
      <c r="S61" s="6"/>
      <c r="T61" s="15"/>
    </row>
    <row r="62" spans="1:20">
      <c r="A62" s="7" t="s">
        <v>97</v>
      </c>
      <c r="B62" s="7" t="s">
        <v>69</v>
      </c>
      <c r="C62" s="7"/>
      <c r="D62" s="7"/>
      <c r="E62" s="18"/>
      <c r="F62" s="7"/>
      <c r="G62" s="7"/>
      <c r="H62" s="19">
        <v>2</v>
      </c>
      <c r="I62" s="18"/>
      <c r="J62" s="7"/>
      <c r="K62" s="7"/>
      <c r="L62" s="19">
        <v>3</v>
      </c>
      <c r="M62" s="18"/>
      <c r="N62" s="7"/>
      <c r="O62" s="7"/>
      <c r="P62" s="19">
        <v>4</v>
      </c>
      <c r="Q62" s="18"/>
      <c r="R62" s="7"/>
      <c r="S62" s="7"/>
      <c r="T62" s="19">
        <v>4</v>
      </c>
    </row>
    <row r="63" spans="1:20" ht="15.75" thickBot="1">
      <c r="A63" s="8" t="s">
        <v>98</v>
      </c>
      <c r="B63" s="8" t="s">
        <v>71</v>
      </c>
      <c r="C63" s="8"/>
      <c r="D63" s="8"/>
      <c r="E63" s="20"/>
      <c r="F63" s="21"/>
      <c r="G63" s="21"/>
      <c r="H63" s="22">
        <v>4</v>
      </c>
      <c r="I63" s="20"/>
      <c r="J63" s="21"/>
      <c r="K63" s="21"/>
      <c r="L63" s="22">
        <v>5</v>
      </c>
      <c r="M63" s="20"/>
      <c r="N63" s="21"/>
      <c r="O63" s="21"/>
      <c r="P63" s="22">
        <v>6</v>
      </c>
      <c r="Q63" s="20"/>
      <c r="R63" s="21"/>
      <c r="S63" s="21"/>
      <c r="T63" s="22">
        <v>6</v>
      </c>
    </row>
    <row r="64" spans="1:20" ht="15.75" thickBot="1"/>
    <row r="65" spans="1:20">
      <c r="A65" s="1" t="s">
        <v>105</v>
      </c>
      <c r="C65" t="s">
        <v>100</v>
      </c>
      <c r="E65" s="10" t="s">
        <v>65</v>
      </c>
      <c r="F65" s="11" t="s">
        <v>66</v>
      </c>
      <c r="G65" s="11" t="s">
        <v>67</v>
      </c>
      <c r="H65" s="12">
        <v>42767</v>
      </c>
      <c r="I65" s="10" t="s">
        <v>65</v>
      </c>
      <c r="J65" s="11" t="s">
        <v>66</v>
      </c>
      <c r="K65" s="11" t="s">
        <v>67</v>
      </c>
      <c r="L65" s="12">
        <v>42856</v>
      </c>
      <c r="M65" s="10" t="s">
        <v>65</v>
      </c>
      <c r="N65" s="11" t="s">
        <v>66</v>
      </c>
      <c r="O65" s="11" t="s">
        <v>67</v>
      </c>
      <c r="P65" s="12">
        <v>43009</v>
      </c>
      <c r="Q65" s="10" t="s">
        <v>65</v>
      </c>
      <c r="R65" s="11" t="s">
        <v>66</v>
      </c>
      <c r="S65" s="11" t="s">
        <v>67</v>
      </c>
      <c r="T65" s="12">
        <v>43132</v>
      </c>
    </row>
    <row r="66" spans="1:20">
      <c r="A66" s="4" t="s">
        <v>101</v>
      </c>
      <c r="B66" s="4" t="s">
        <v>69</v>
      </c>
      <c r="C66" s="4">
        <v>50</v>
      </c>
      <c r="D66" s="4"/>
      <c r="E66" s="13"/>
      <c r="F66" s="6">
        <f>+H$31</f>
        <v>4</v>
      </c>
      <c r="G66" s="14">
        <f>C66</f>
        <v>50</v>
      </c>
      <c r="H66" s="45">
        <f>+E66*F66*G66</f>
        <v>0</v>
      </c>
      <c r="I66" s="13">
        <f>+L94</f>
        <v>4</v>
      </c>
      <c r="J66" s="6">
        <f>+L$31</f>
        <v>5</v>
      </c>
      <c r="K66" s="14">
        <f>G66</f>
        <v>50</v>
      </c>
      <c r="L66" s="45">
        <f>+I66*J66*K66</f>
        <v>1000</v>
      </c>
      <c r="M66" s="13">
        <f>+P94</f>
        <v>4</v>
      </c>
      <c r="N66" s="6">
        <f>+P$31</f>
        <v>6</v>
      </c>
      <c r="O66" s="14">
        <f>K66</f>
        <v>50</v>
      </c>
      <c r="P66" s="45">
        <f>+M66*N66*O66</f>
        <v>1200</v>
      </c>
      <c r="Q66" s="13">
        <f>+T94</f>
        <v>4</v>
      </c>
      <c r="R66" s="6">
        <f>+T$31</f>
        <v>6</v>
      </c>
      <c r="S66" s="14">
        <f>O66</f>
        <v>50</v>
      </c>
      <c r="T66" s="45">
        <f>+Q66*R66*S66</f>
        <v>1200</v>
      </c>
    </row>
    <row r="67" spans="1:20">
      <c r="A67" s="4" t="s">
        <v>102</v>
      </c>
      <c r="B67" s="4" t="s">
        <v>71</v>
      </c>
      <c r="C67" s="4">
        <v>150</v>
      </c>
      <c r="D67" s="4"/>
      <c r="E67" s="13">
        <f>+H94</f>
        <v>3</v>
      </c>
      <c r="F67" s="6">
        <f>+H$31</f>
        <v>4</v>
      </c>
      <c r="G67" s="14">
        <f>C67</f>
        <v>150</v>
      </c>
      <c r="H67" s="45">
        <f>+E67*F67*G67</f>
        <v>1800</v>
      </c>
      <c r="I67" s="13">
        <f>+L94</f>
        <v>4</v>
      </c>
      <c r="J67" s="6">
        <f>+L$31</f>
        <v>5</v>
      </c>
      <c r="K67" s="14">
        <f>G67</f>
        <v>150</v>
      </c>
      <c r="L67" s="45">
        <f>+I67*J67*K67</f>
        <v>3000</v>
      </c>
      <c r="M67" s="13">
        <f>+P94</f>
        <v>4</v>
      </c>
      <c r="N67" s="6">
        <f>+P$31</f>
        <v>6</v>
      </c>
      <c r="O67" s="14">
        <f>K67</f>
        <v>150</v>
      </c>
      <c r="P67" s="45">
        <f>+M67*N67*O67</f>
        <v>3600</v>
      </c>
      <c r="Q67" s="13">
        <f>+T94</f>
        <v>4</v>
      </c>
      <c r="R67" s="6">
        <f>+T$31</f>
        <v>6</v>
      </c>
      <c r="S67" s="14">
        <f>O67</f>
        <v>150</v>
      </c>
      <c r="T67" s="45">
        <f>+Q67*R67*S67</f>
        <v>3600</v>
      </c>
    </row>
    <row r="68" spans="1:20">
      <c r="A68" s="4" t="s">
        <v>73</v>
      </c>
      <c r="B68" s="4" t="s">
        <v>71</v>
      </c>
      <c r="C68" s="42">
        <v>60</v>
      </c>
      <c r="D68" s="4"/>
      <c r="E68" s="13">
        <f>+H94</f>
        <v>3</v>
      </c>
      <c r="F68" s="14">
        <v>1</v>
      </c>
      <c r="G68" s="14">
        <f>C68</f>
        <v>60</v>
      </c>
      <c r="H68" s="45">
        <f>+E68*F68*G68</f>
        <v>180</v>
      </c>
      <c r="I68" s="13">
        <f>+L94</f>
        <v>4</v>
      </c>
      <c r="J68" s="14">
        <v>1</v>
      </c>
      <c r="K68" s="14">
        <f>G68</f>
        <v>60</v>
      </c>
      <c r="L68" s="45">
        <f>+I68*J68*K68</f>
        <v>240</v>
      </c>
      <c r="M68" s="13">
        <f>+P94</f>
        <v>4</v>
      </c>
      <c r="N68" s="14">
        <v>1</v>
      </c>
      <c r="O68" s="14">
        <f>K68</f>
        <v>60</v>
      </c>
      <c r="P68" s="45">
        <f>+M68*N68*O68</f>
        <v>240</v>
      </c>
      <c r="Q68" s="13">
        <f>+T94</f>
        <v>4</v>
      </c>
      <c r="R68" s="14">
        <v>1</v>
      </c>
      <c r="S68" s="14">
        <f>O68</f>
        <v>60</v>
      </c>
      <c r="T68" s="45">
        <f>+Q68*R68*S68</f>
        <v>240</v>
      </c>
    </row>
    <row r="69" spans="1:20">
      <c r="A69" s="4" t="s">
        <v>75</v>
      </c>
      <c r="B69" s="4" t="s">
        <v>71</v>
      </c>
      <c r="C69" s="42">
        <f>500/10</f>
        <v>50</v>
      </c>
      <c r="D69" s="4"/>
      <c r="E69" s="13">
        <f>+H94</f>
        <v>3</v>
      </c>
      <c r="F69" s="6">
        <f>+H95</f>
        <v>4</v>
      </c>
      <c r="G69" s="14">
        <f>C69</f>
        <v>50</v>
      </c>
      <c r="H69" s="45">
        <f>+E69*F69*G69</f>
        <v>600</v>
      </c>
      <c r="I69" s="13">
        <f>+L94</f>
        <v>4</v>
      </c>
      <c r="J69" s="6">
        <f>+L95</f>
        <v>5</v>
      </c>
      <c r="K69" s="14">
        <f>G69</f>
        <v>50</v>
      </c>
      <c r="L69" s="45">
        <f>+I69*J69*K69</f>
        <v>1000</v>
      </c>
      <c r="M69" s="13">
        <f>+P94</f>
        <v>4</v>
      </c>
      <c r="N69" s="6">
        <f>+P95</f>
        <v>6</v>
      </c>
      <c r="O69" s="14">
        <f>K69</f>
        <v>50</v>
      </c>
      <c r="P69" s="45">
        <f>+M69*N69*O69</f>
        <v>1200</v>
      </c>
      <c r="Q69" s="13">
        <f>+T94</f>
        <v>4</v>
      </c>
      <c r="R69" s="6">
        <f>+T95</f>
        <v>6</v>
      </c>
      <c r="S69" s="14">
        <f>O69</f>
        <v>50</v>
      </c>
      <c r="T69" s="45">
        <f>+Q69*R69*S69</f>
        <v>1200</v>
      </c>
    </row>
    <row r="70" spans="1:20">
      <c r="A70" s="4" t="s">
        <v>103</v>
      </c>
      <c r="B70" s="4" t="s">
        <v>71</v>
      </c>
      <c r="C70" s="4">
        <v>15</v>
      </c>
      <c r="D70" s="4"/>
      <c r="E70" s="16">
        <v>8</v>
      </c>
      <c r="F70" s="6">
        <f>+H$31</f>
        <v>4</v>
      </c>
      <c r="G70" s="14">
        <v>15</v>
      </c>
      <c r="H70" s="45">
        <f>+E70*F70*G70</f>
        <v>480</v>
      </c>
      <c r="I70" s="16">
        <v>8</v>
      </c>
      <c r="J70" s="6">
        <f>+L$31</f>
        <v>5</v>
      </c>
      <c r="K70" s="14">
        <v>15</v>
      </c>
      <c r="L70" s="45">
        <f>+I70*J70*K70</f>
        <v>600</v>
      </c>
      <c r="M70" s="16">
        <v>10</v>
      </c>
      <c r="N70" s="6">
        <f>+P$31</f>
        <v>6</v>
      </c>
      <c r="O70" s="14">
        <f>K70</f>
        <v>15</v>
      </c>
      <c r="P70" s="45">
        <f>+M70*N70*O70</f>
        <v>900</v>
      </c>
      <c r="Q70" s="16">
        <v>10</v>
      </c>
      <c r="R70" s="6">
        <f>+T$31</f>
        <v>6</v>
      </c>
      <c r="S70" s="14">
        <f>O70</f>
        <v>15</v>
      </c>
      <c r="T70" s="45">
        <f>+Q70*R70*S70</f>
        <v>900</v>
      </c>
    </row>
    <row r="71" spans="1:20">
      <c r="A71" s="4" t="s">
        <v>77</v>
      </c>
      <c r="B71" s="4"/>
      <c r="C71" s="4"/>
      <c r="D71" s="4"/>
      <c r="E71" s="16"/>
      <c r="F71" s="6"/>
      <c r="G71" s="14"/>
      <c r="H71" s="45">
        <v>600</v>
      </c>
      <c r="I71" s="16"/>
      <c r="J71" s="6"/>
      <c r="K71" s="14"/>
      <c r="L71" s="45"/>
      <c r="M71" s="16"/>
      <c r="N71" s="6"/>
      <c r="O71" s="14"/>
      <c r="P71" s="45"/>
      <c r="Q71" s="16"/>
      <c r="R71" s="6"/>
      <c r="S71" s="14"/>
      <c r="T71" s="45"/>
    </row>
    <row r="72" spans="1:20">
      <c r="A72" s="5" t="s">
        <v>78</v>
      </c>
      <c r="B72" s="5"/>
      <c r="C72" s="5"/>
      <c r="D72" s="5"/>
      <c r="E72" s="17"/>
      <c r="F72" s="5"/>
      <c r="G72" s="5"/>
      <c r="H72" s="46">
        <f>SUM(H66:H71)</f>
        <v>3660</v>
      </c>
      <c r="I72" s="17"/>
      <c r="J72" s="5"/>
      <c r="K72" s="5"/>
      <c r="L72" s="46">
        <f>SUM(L66:L70)</f>
        <v>5840</v>
      </c>
      <c r="M72" s="17"/>
      <c r="N72" s="5"/>
      <c r="O72" s="5"/>
      <c r="P72" s="46">
        <f>SUM(P66:P70)</f>
        <v>7140</v>
      </c>
      <c r="Q72" s="17"/>
      <c r="R72" s="5"/>
      <c r="S72" s="5"/>
      <c r="T72" s="46">
        <f>SUM(T66:T70)</f>
        <v>7140</v>
      </c>
    </row>
    <row r="73" spans="1:20">
      <c r="A73" s="4"/>
      <c r="B73" s="4"/>
      <c r="C73" s="4"/>
      <c r="D73" s="4"/>
      <c r="E73" s="13"/>
      <c r="F73" s="6"/>
      <c r="G73" s="6"/>
      <c r="H73" s="45"/>
      <c r="I73" s="13"/>
      <c r="J73" s="6"/>
      <c r="K73" s="6"/>
      <c r="L73" s="45"/>
      <c r="M73" s="13"/>
      <c r="N73" s="6"/>
      <c r="O73" s="6"/>
      <c r="P73" s="45"/>
      <c r="Q73" s="13"/>
      <c r="R73" s="6"/>
      <c r="S73" s="6"/>
      <c r="T73" s="45"/>
    </row>
    <row r="74" spans="1:20">
      <c r="A74" s="4" t="s">
        <v>79</v>
      </c>
      <c r="B74" s="4"/>
      <c r="C74" s="4"/>
      <c r="D74" s="4"/>
      <c r="E74" s="13"/>
      <c r="F74" s="6"/>
      <c r="G74" s="6"/>
      <c r="H74" s="45"/>
      <c r="I74" s="13"/>
      <c r="J74" s="6"/>
      <c r="K74" s="6"/>
      <c r="L74" s="45"/>
      <c r="M74" s="13"/>
      <c r="N74" s="6"/>
      <c r="O74" s="6"/>
      <c r="P74" s="45"/>
      <c r="Q74" s="13"/>
      <c r="R74" s="6"/>
      <c r="S74" s="6"/>
      <c r="T74" s="45"/>
    </row>
    <row r="75" spans="1:20">
      <c r="A75" s="4" t="s">
        <v>80</v>
      </c>
      <c r="B75" s="4" t="s">
        <v>71</v>
      </c>
      <c r="C75" s="4">
        <v>150</v>
      </c>
      <c r="D75" s="4"/>
      <c r="E75" s="16">
        <v>1</v>
      </c>
      <c r="F75" s="6">
        <f>+H95*1.2</f>
        <v>4.8</v>
      </c>
      <c r="G75" s="14">
        <f>C75</f>
        <v>150</v>
      </c>
      <c r="H75" s="45">
        <f>+E75*F75*G75</f>
        <v>720</v>
      </c>
      <c r="I75" s="16">
        <v>1</v>
      </c>
      <c r="J75" s="6">
        <f>+L95*1.2</f>
        <v>6</v>
      </c>
      <c r="K75" s="14">
        <f>G75</f>
        <v>150</v>
      </c>
      <c r="L75" s="45">
        <f>+I75*J75*K75</f>
        <v>900</v>
      </c>
      <c r="M75" s="16">
        <v>1</v>
      </c>
      <c r="N75" s="6">
        <f>+P95*1.2</f>
        <v>7.1999999999999993</v>
      </c>
      <c r="O75" s="14">
        <f>K75</f>
        <v>150</v>
      </c>
      <c r="P75" s="45">
        <f>+M75*N75*O75</f>
        <v>1080</v>
      </c>
      <c r="Q75" s="16">
        <v>1</v>
      </c>
      <c r="R75" s="6">
        <f>+T95*1.2</f>
        <v>7.1999999999999993</v>
      </c>
      <c r="S75" s="14">
        <f>O75</f>
        <v>150</v>
      </c>
      <c r="T75" s="45">
        <f>+Q75*R75*S75</f>
        <v>1080</v>
      </c>
    </row>
    <row r="76" spans="1:20">
      <c r="A76" s="4" t="s">
        <v>81</v>
      </c>
      <c r="B76" s="4" t="s">
        <v>71</v>
      </c>
      <c r="C76" s="4">
        <v>120</v>
      </c>
      <c r="D76" s="4"/>
      <c r="E76" s="16">
        <v>2</v>
      </c>
      <c r="F76" s="6">
        <f>+H95</f>
        <v>4</v>
      </c>
      <c r="G76" s="14">
        <f>C76</f>
        <v>120</v>
      </c>
      <c r="H76" s="45">
        <f>+E76*F76*G76</f>
        <v>960</v>
      </c>
      <c r="I76" s="16">
        <v>2</v>
      </c>
      <c r="J76" s="6">
        <f>+L95</f>
        <v>5</v>
      </c>
      <c r="K76" s="14">
        <f>G76</f>
        <v>120</v>
      </c>
      <c r="L76" s="45">
        <f>+I76*J76*K76</f>
        <v>1200</v>
      </c>
      <c r="M76" s="16">
        <v>2</v>
      </c>
      <c r="N76" s="6">
        <f>+P95</f>
        <v>6</v>
      </c>
      <c r="O76" s="14">
        <f>K76</f>
        <v>120</v>
      </c>
      <c r="P76" s="45">
        <f>+M76*N76*O76</f>
        <v>1440</v>
      </c>
      <c r="Q76" s="16">
        <v>2</v>
      </c>
      <c r="R76" s="6">
        <f>+T95</f>
        <v>6</v>
      </c>
      <c r="S76" s="14">
        <f>O76</f>
        <v>120</v>
      </c>
      <c r="T76" s="45">
        <f>+Q76*R76*S76</f>
        <v>1440</v>
      </c>
    </row>
    <row r="77" spans="1:20">
      <c r="A77" s="4" t="s">
        <v>82</v>
      </c>
      <c r="B77" s="4" t="s">
        <v>71</v>
      </c>
      <c r="C77" s="4">
        <v>50</v>
      </c>
      <c r="D77" s="4"/>
      <c r="E77" s="16">
        <v>1</v>
      </c>
      <c r="F77" s="6">
        <f>+H95*1.2</f>
        <v>4.8</v>
      </c>
      <c r="G77" s="14">
        <f>C77</f>
        <v>50</v>
      </c>
      <c r="H77" s="45">
        <f>+E77*F77*G77</f>
        <v>240</v>
      </c>
      <c r="I77" s="16">
        <v>1</v>
      </c>
      <c r="J77" s="6">
        <f>+L95*1.2</f>
        <v>6</v>
      </c>
      <c r="K77" s="14">
        <f>G77</f>
        <v>50</v>
      </c>
      <c r="L77" s="45">
        <f>+I77*J77*K77</f>
        <v>300</v>
      </c>
      <c r="M77" s="16">
        <v>1</v>
      </c>
      <c r="N77" s="6">
        <f>+P95*1.2</f>
        <v>7.1999999999999993</v>
      </c>
      <c r="O77" s="14">
        <f>K77</f>
        <v>50</v>
      </c>
      <c r="P77" s="45">
        <f>+M77*N77*O77</f>
        <v>359.99999999999994</v>
      </c>
      <c r="Q77" s="16">
        <v>1</v>
      </c>
      <c r="R77" s="6">
        <f>+T95*1.2</f>
        <v>7.1999999999999993</v>
      </c>
      <c r="S77" s="14">
        <f>O77</f>
        <v>50</v>
      </c>
      <c r="T77" s="45">
        <f>+Q77*R77*S77</f>
        <v>359.99999999999994</v>
      </c>
    </row>
    <row r="78" spans="1:20">
      <c r="A78" s="4" t="s">
        <v>83</v>
      </c>
      <c r="B78" s="4" t="s">
        <v>71</v>
      </c>
      <c r="C78" s="4">
        <v>80</v>
      </c>
      <c r="D78" s="4"/>
      <c r="E78" s="16">
        <v>1</v>
      </c>
      <c r="F78" s="6">
        <f>+H95</f>
        <v>4</v>
      </c>
      <c r="G78" s="14">
        <f>C78</f>
        <v>80</v>
      </c>
      <c r="H78" s="45">
        <f>+E78*F78*G78</f>
        <v>320</v>
      </c>
      <c r="I78" s="16">
        <v>1</v>
      </c>
      <c r="J78" s="6">
        <f>+L95</f>
        <v>5</v>
      </c>
      <c r="K78" s="14">
        <f>G78</f>
        <v>80</v>
      </c>
      <c r="L78" s="45">
        <f>+I78*J78*K78</f>
        <v>400</v>
      </c>
      <c r="M78" s="16">
        <v>1</v>
      </c>
      <c r="N78" s="6">
        <f>+P95</f>
        <v>6</v>
      </c>
      <c r="O78" s="14">
        <f>K78</f>
        <v>80</v>
      </c>
      <c r="P78" s="45">
        <f>+M78*N78*O78</f>
        <v>480</v>
      </c>
      <c r="Q78" s="16">
        <v>1</v>
      </c>
      <c r="R78" s="6">
        <f>+T95</f>
        <v>6</v>
      </c>
      <c r="S78" s="14">
        <f>O78</f>
        <v>80</v>
      </c>
      <c r="T78" s="45">
        <f>+Q78*R78*S78</f>
        <v>480</v>
      </c>
    </row>
    <row r="79" spans="1:20">
      <c r="A79" s="4" t="s">
        <v>84</v>
      </c>
      <c r="B79" s="4" t="s">
        <v>71</v>
      </c>
      <c r="C79" s="4">
        <v>40</v>
      </c>
      <c r="D79" s="4"/>
      <c r="E79" s="16">
        <v>2</v>
      </c>
      <c r="F79" s="6">
        <f>+H95</f>
        <v>4</v>
      </c>
      <c r="G79" s="14">
        <f>C79</f>
        <v>40</v>
      </c>
      <c r="H79" s="45">
        <f>+E79*F79*G79</f>
        <v>320</v>
      </c>
      <c r="I79" s="16">
        <v>2</v>
      </c>
      <c r="J79" s="6">
        <f>+L95</f>
        <v>5</v>
      </c>
      <c r="K79" s="14">
        <f>G79</f>
        <v>40</v>
      </c>
      <c r="L79" s="45">
        <f>+I79*J79*K79</f>
        <v>400</v>
      </c>
      <c r="M79" s="16">
        <v>2</v>
      </c>
      <c r="N79" s="6">
        <f>+P95</f>
        <v>6</v>
      </c>
      <c r="O79" s="14">
        <f>K79</f>
        <v>40</v>
      </c>
      <c r="P79" s="45">
        <f>+M79*N79*O79</f>
        <v>480</v>
      </c>
      <c r="Q79" s="16">
        <v>2</v>
      </c>
      <c r="R79" s="6">
        <f>+T95</f>
        <v>6</v>
      </c>
      <c r="S79" s="14">
        <f>O79</f>
        <v>40</v>
      </c>
      <c r="T79" s="45">
        <f>+Q79*R79*S79</f>
        <v>480</v>
      </c>
    </row>
    <row r="80" spans="1:20">
      <c r="A80" s="5" t="s">
        <v>85</v>
      </c>
      <c r="B80" s="5"/>
      <c r="C80" s="5"/>
      <c r="D80" s="43"/>
      <c r="E80" s="17"/>
      <c r="F80" s="5"/>
      <c r="G80" s="5"/>
      <c r="H80" s="46">
        <f>SUM(H75:H79)</f>
        <v>2560</v>
      </c>
      <c r="I80" s="17"/>
      <c r="J80" s="5"/>
      <c r="K80" s="5"/>
      <c r="L80" s="46">
        <f>SUM(L75:L79)</f>
        <v>3200</v>
      </c>
      <c r="M80" s="17"/>
      <c r="N80" s="5"/>
      <c r="O80" s="5"/>
      <c r="P80" s="46">
        <f>SUM(P75:P79)</f>
        <v>3840</v>
      </c>
      <c r="Q80" s="17"/>
      <c r="R80" s="5"/>
      <c r="S80" s="5"/>
      <c r="T80" s="46">
        <f>SUM(T75:T79)</f>
        <v>3840</v>
      </c>
    </row>
    <row r="81" spans="1:20">
      <c r="A81" s="4"/>
      <c r="B81" s="4"/>
      <c r="C81" s="4"/>
      <c r="D81" s="4"/>
      <c r="E81" s="13"/>
      <c r="F81" s="6"/>
      <c r="G81" s="6"/>
      <c r="H81" s="45"/>
      <c r="I81" s="13"/>
      <c r="J81" s="6"/>
      <c r="K81" s="6"/>
      <c r="L81" s="45"/>
      <c r="M81" s="13"/>
      <c r="N81" s="6"/>
      <c r="O81" s="6"/>
      <c r="P81" s="45"/>
      <c r="Q81" s="13"/>
      <c r="R81" s="6"/>
      <c r="S81" s="6"/>
      <c r="T81" s="45"/>
    </row>
    <row r="82" spans="1:20">
      <c r="A82" s="4" t="s">
        <v>86</v>
      </c>
      <c r="B82" s="4"/>
      <c r="C82" s="4"/>
      <c r="D82" s="4"/>
      <c r="E82" s="13"/>
      <c r="F82" s="6"/>
      <c r="G82" s="6"/>
      <c r="H82" s="45"/>
      <c r="I82" s="13"/>
      <c r="J82" s="6"/>
      <c r="K82" s="6"/>
      <c r="L82" s="45"/>
      <c r="M82" s="13"/>
      <c r="N82" s="6"/>
      <c r="O82" s="6"/>
      <c r="P82" s="45"/>
      <c r="Q82" s="13"/>
      <c r="R82" s="6"/>
      <c r="S82" s="6"/>
      <c r="T82" s="45"/>
    </row>
    <row r="83" spans="1:20">
      <c r="A83" s="4" t="s">
        <v>87</v>
      </c>
      <c r="B83" s="4" t="s">
        <v>71</v>
      </c>
      <c r="C83" s="4">
        <v>150</v>
      </c>
      <c r="D83" s="4"/>
      <c r="E83" s="16">
        <v>1</v>
      </c>
      <c r="F83" s="6">
        <f>+H95</f>
        <v>4</v>
      </c>
      <c r="G83" s="14">
        <f>C83</f>
        <v>150</v>
      </c>
      <c r="H83" s="45">
        <f t="shared" ref="H83:H89" si="16">+E83*F83*G83</f>
        <v>600</v>
      </c>
      <c r="I83" s="16">
        <v>1</v>
      </c>
      <c r="J83" s="6">
        <f>+L95</f>
        <v>5</v>
      </c>
      <c r="K83" s="14">
        <f>G83</f>
        <v>150</v>
      </c>
      <c r="L83" s="45">
        <f t="shared" ref="L83:L89" si="17">+I83*J83*K83</f>
        <v>750</v>
      </c>
      <c r="M83" s="16">
        <v>1</v>
      </c>
      <c r="N83" s="6">
        <f>+P95</f>
        <v>6</v>
      </c>
      <c r="O83" s="14">
        <f>K83</f>
        <v>150</v>
      </c>
      <c r="P83" s="45">
        <f t="shared" ref="P83:P89" si="18">+M83*N83*O83</f>
        <v>900</v>
      </c>
      <c r="Q83" s="16">
        <v>1</v>
      </c>
      <c r="R83" s="6">
        <f>+T95</f>
        <v>6</v>
      </c>
      <c r="S83" s="14">
        <f>O83</f>
        <v>150</v>
      </c>
      <c r="T83" s="45">
        <f t="shared" ref="T83:T89" si="19">+Q83*R83*S83</f>
        <v>900</v>
      </c>
    </row>
    <row r="84" spans="1:20">
      <c r="A84" s="4" t="s">
        <v>88</v>
      </c>
      <c r="B84" s="4" t="s">
        <v>71</v>
      </c>
      <c r="C84" s="4">
        <v>50</v>
      </c>
      <c r="D84" s="4"/>
      <c r="E84" s="16">
        <v>1</v>
      </c>
      <c r="F84" s="6">
        <f>+H95</f>
        <v>4</v>
      </c>
      <c r="G84" s="14">
        <f t="shared" ref="G84:G89" si="20">C84</f>
        <v>50</v>
      </c>
      <c r="H84" s="45">
        <f t="shared" si="16"/>
        <v>200</v>
      </c>
      <c r="I84" s="16">
        <v>1</v>
      </c>
      <c r="J84" s="6">
        <f>+L95</f>
        <v>5</v>
      </c>
      <c r="K84" s="14">
        <f t="shared" ref="K84:K89" si="21">G84</f>
        <v>50</v>
      </c>
      <c r="L84" s="45">
        <f t="shared" si="17"/>
        <v>250</v>
      </c>
      <c r="M84" s="16">
        <v>1</v>
      </c>
      <c r="N84" s="6">
        <f>+P95</f>
        <v>6</v>
      </c>
      <c r="O84" s="14">
        <f t="shared" ref="O84:O89" si="22">K84</f>
        <v>50</v>
      </c>
      <c r="P84" s="45">
        <f t="shared" si="18"/>
        <v>300</v>
      </c>
      <c r="Q84" s="16">
        <v>1</v>
      </c>
      <c r="R84" s="6">
        <f>+T95</f>
        <v>6</v>
      </c>
      <c r="S84" s="14">
        <f t="shared" ref="S84:S89" si="23">O84</f>
        <v>50</v>
      </c>
      <c r="T84" s="45">
        <f t="shared" si="19"/>
        <v>300</v>
      </c>
    </row>
    <row r="85" spans="1:20">
      <c r="A85" s="4" t="s">
        <v>89</v>
      </c>
      <c r="B85" s="4" t="s">
        <v>69</v>
      </c>
      <c r="C85" s="4">
        <v>500</v>
      </c>
      <c r="D85" s="4"/>
      <c r="E85" s="13">
        <f>+H94</f>
        <v>3</v>
      </c>
      <c r="F85" s="14">
        <v>1</v>
      </c>
      <c r="G85" s="14">
        <f t="shared" si="20"/>
        <v>500</v>
      </c>
      <c r="H85" s="45">
        <f t="shared" si="16"/>
        <v>1500</v>
      </c>
      <c r="I85" s="13">
        <f>+L94</f>
        <v>4</v>
      </c>
      <c r="J85" s="14">
        <v>1</v>
      </c>
      <c r="K85" s="14">
        <f t="shared" si="21"/>
        <v>500</v>
      </c>
      <c r="L85" s="45">
        <f t="shared" si="17"/>
        <v>2000</v>
      </c>
      <c r="M85" s="13">
        <f>+P94</f>
        <v>4</v>
      </c>
      <c r="N85" s="14">
        <v>1</v>
      </c>
      <c r="O85" s="14">
        <f t="shared" si="22"/>
        <v>500</v>
      </c>
      <c r="P85" s="45">
        <f t="shared" si="18"/>
        <v>2000</v>
      </c>
      <c r="Q85" s="13">
        <f>+T94</f>
        <v>4</v>
      </c>
      <c r="R85" s="14">
        <v>1</v>
      </c>
      <c r="S85" s="14">
        <f t="shared" si="23"/>
        <v>500</v>
      </c>
      <c r="T85" s="45">
        <f t="shared" si="19"/>
        <v>2000</v>
      </c>
    </row>
    <row r="86" spans="1:20">
      <c r="A86" s="4" t="s">
        <v>90</v>
      </c>
      <c r="B86" s="4" t="s">
        <v>91</v>
      </c>
      <c r="C86" s="4">
        <v>500</v>
      </c>
      <c r="D86" s="4"/>
      <c r="E86" s="16">
        <v>1</v>
      </c>
      <c r="F86" s="14">
        <v>1</v>
      </c>
      <c r="G86" s="14">
        <f t="shared" si="20"/>
        <v>500</v>
      </c>
      <c r="H86" s="45">
        <f t="shared" si="16"/>
        <v>500</v>
      </c>
      <c r="I86" s="16">
        <v>1</v>
      </c>
      <c r="J86" s="14">
        <v>1</v>
      </c>
      <c r="K86" s="14">
        <f t="shared" si="21"/>
        <v>500</v>
      </c>
      <c r="L86" s="45">
        <f t="shared" si="17"/>
        <v>500</v>
      </c>
      <c r="M86" s="16">
        <v>1</v>
      </c>
      <c r="N86" s="14">
        <v>1</v>
      </c>
      <c r="O86" s="14">
        <f t="shared" si="22"/>
        <v>500</v>
      </c>
      <c r="P86" s="45">
        <f t="shared" si="18"/>
        <v>500</v>
      </c>
      <c r="Q86" s="16">
        <v>1</v>
      </c>
      <c r="R86" s="14">
        <v>1</v>
      </c>
      <c r="S86" s="14">
        <f t="shared" si="23"/>
        <v>500</v>
      </c>
      <c r="T86" s="45">
        <f t="shared" si="19"/>
        <v>500</v>
      </c>
    </row>
    <row r="87" spans="1:20">
      <c r="A87" s="4" t="s">
        <v>92</v>
      </c>
      <c r="B87" s="4" t="s">
        <v>91</v>
      </c>
      <c r="C87" s="4">
        <v>300</v>
      </c>
      <c r="D87" s="4"/>
      <c r="E87" s="16">
        <v>1</v>
      </c>
      <c r="F87" s="14">
        <v>1</v>
      </c>
      <c r="G87" s="14">
        <f t="shared" si="20"/>
        <v>300</v>
      </c>
      <c r="H87" s="45">
        <f t="shared" si="16"/>
        <v>300</v>
      </c>
      <c r="I87" s="16">
        <v>1</v>
      </c>
      <c r="J87" s="14">
        <v>1</v>
      </c>
      <c r="K87" s="14">
        <f t="shared" si="21"/>
        <v>300</v>
      </c>
      <c r="L87" s="45">
        <f t="shared" si="17"/>
        <v>300</v>
      </c>
      <c r="M87" s="16">
        <v>1</v>
      </c>
      <c r="N87" s="14">
        <v>1</v>
      </c>
      <c r="O87" s="14">
        <f t="shared" si="22"/>
        <v>300</v>
      </c>
      <c r="P87" s="45">
        <f t="shared" si="18"/>
        <v>300</v>
      </c>
      <c r="Q87" s="16">
        <v>1</v>
      </c>
      <c r="R87" s="14">
        <v>1</v>
      </c>
      <c r="S87" s="14">
        <f t="shared" si="23"/>
        <v>300</v>
      </c>
      <c r="T87" s="45">
        <f t="shared" si="19"/>
        <v>300</v>
      </c>
    </row>
    <row r="88" spans="1:20">
      <c r="A88" s="4" t="s">
        <v>93</v>
      </c>
      <c r="B88" s="4" t="s">
        <v>71</v>
      </c>
      <c r="C88" s="4">
        <v>75</v>
      </c>
      <c r="D88" s="4"/>
      <c r="E88" s="16">
        <v>1</v>
      </c>
      <c r="F88" s="6">
        <f>+H95</f>
        <v>4</v>
      </c>
      <c r="G88" s="14">
        <f t="shared" si="20"/>
        <v>75</v>
      </c>
      <c r="H88" s="45">
        <f t="shared" si="16"/>
        <v>300</v>
      </c>
      <c r="I88" s="16">
        <v>1</v>
      </c>
      <c r="J88" s="6">
        <f>+L95</f>
        <v>5</v>
      </c>
      <c r="K88" s="14">
        <f t="shared" si="21"/>
        <v>75</v>
      </c>
      <c r="L88" s="45">
        <f t="shared" si="17"/>
        <v>375</v>
      </c>
      <c r="M88" s="16">
        <v>1</v>
      </c>
      <c r="N88" s="6">
        <f>+P95</f>
        <v>6</v>
      </c>
      <c r="O88" s="14">
        <f t="shared" si="22"/>
        <v>75</v>
      </c>
      <c r="P88" s="45">
        <f t="shared" si="18"/>
        <v>450</v>
      </c>
      <c r="Q88" s="16">
        <v>1</v>
      </c>
      <c r="R88" s="6">
        <f>+T95</f>
        <v>6</v>
      </c>
      <c r="S88" s="14">
        <f t="shared" si="23"/>
        <v>75</v>
      </c>
      <c r="T88" s="45">
        <f t="shared" si="19"/>
        <v>450</v>
      </c>
    </row>
    <row r="89" spans="1:20">
      <c r="A89" s="4" t="s">
        <v>94</v>
      </c>
      <c r="B89" s="4" t="s">
        <v>71</v>
      </c>
      <c r="C89" s="4">
        <v>50</v>
      </c>
      <c r="D89" s="4"/>
      <c r="E89" s="16">
        <v>1</v>
      </c>
      <c r="F89" s="6">
        <f>+H95</f>
        <v>4</v>
      </c>
      <c r="G89" s="14">
        <f t="shared" si="20"/>
        <v>50</v>
      </c>
      <c r="H89" s="45">
        <f t="shared" si="16"/>
        <v>200</v>
      </c>
      <c r="I89" s="16">
        <v>1</v>
      </c>
      <c r="J89" s="6">
        <f>+L95</f>
        <v>5</v>
      </c>
      <c r="K89" s="14">
        <f t="shared" si="21"/>
        <v>50</v>
      </c>
      <c r="L89" s="45">
        <f t="shared" si="17"/>
        <v>250</v>
      </c>
      <c r="M89" s="16">
        <v>1</v>
      </c>
      <c r="N89" s="6">
        <f>+P95</f>
        <v>6</v>
      </c>
      <c r="O89" s="14">
        <f t="shared" si="22"/>
        <v>50</v>
      </c>
      <c r="P89" s="45">
        <f t="shared" si="18"/>
        <v>300</v>
      </c>
      <c r="Q89" s="16">
        <v>1</v>
      </c>
      <c r="R89" s="6">
        <f>+T95</f>
        <v>6</v>
      </c>
      <c r="S89" s="14">
        <f t="shared" si="23"/>
        <v>50</v>
      </c>
      <c r="T89" s="45">
        <f t="shared" si="19"/>
        <v>300</v>
      </c>
    </row>
    <row r="90" spans="1:20">
      <c r="A90" s="5" t="s">
        <v>95</v>
      </c>
      <c r="B90" s="5"/>
      <c r="C90" s="5"/>
      <c r="D90" s="43"/>
      <c r="E90" s="17"/>
      <c r="F90" s="5"/>
      <c r="G90" s="5"/>
      <c r="H90" s="46">
        <f>SUM(H83:H89)</f>
        <v>3600</v>
      </c>
      <c r="I90" s="17"/>
      <c r="J90" s="5"/>
      <c r="K90" s="5"/>
      <c r="L90" s="46">
        <f>SUM(L83:L89)</f>
        <v>4425</v>
      </c>
      <c r="M90" s="17"/>
      <c r="N90" s="5"/>
      <c r="O90" s="5"/>
      <c r="P90" s="46">
        <f>SUM(P83:P89)</f>
        <v>4750</v>
      </c>
      <c r="Q90" s="17"/>
      <c r="R90" s="5"/>
      <c r="S90" s="5"/>
      <c r="T90" s="46">
        <f>SUM(T83:T89)</f>
        <v>4750</v>
      </c>
    </row>
    <row r="91" spans="1:20">
      <c r="A91" s="4"/>
      <c r="B91" s="4"/>
      <c r="C91" s="4"/>
      <c r="D91" s="4"/>
      <c r="E91" s="13"/>
      <c r="F91" s="6"/>
      <c r="G91" s="6"/>
      <c r="H91" s="45"/>
      <c r="I91" s="13"/>
      <c r="J91" s="6"/>
      <c r="K91" s="6"/>
      <c r="L91" s="45"/>
      <c r="M91" s="13"/>
      <c r="N91" s="6"/>
      <c r="O91" s="6"/>
      <c r="P91" s="45"/>
      <c r="Q91" s="13"/>
      <c r="R91" s="6"/>
      <c r="S91" s="6"/>
      <c r="T91" s="45"/>
    </row>
    <row r="92" spans="1:20">
      <c r="A92" s="7" t="s">
        <v>106</v>
      </c>
      <c r="B92" s="7"/>
      <c r="C92" s="7"/>
      <c r="D92" s="7"/>
      <c r="E92" s="18"/>
      <c r="F92" s="7"/>
      <c r="G92" s="7"/>
      <c r="H92" s="47">
        <f>+H90+H80+H72</f>
        <v>9820</v>
      </c>
      <c r="I92" s="18"/>
      <c r="J92" s="7"/>
      <c r="K92" s="7"/>
      <c r="L92" s="47">
        <f>+L90+L80+L72</f>
        <v>13465</v>
      </c>
      <c r="M92" s="18"/>
      <c r="N92" s="7"/>
      <c r="O92" s="7"/>
      <c r="P92" s="47">
        <f>+P90+P80+P72</f>
        <v>15730</v>
      </c>
      <c r="Q92" s="18"/>
      <c r="R92" s="7"/>
      <c r="S92" s="7"/>
      <c r="T92" s="47">
        <f>+T90+T80+T72</f>
        <v>15730</v>
      </c>
    </row>
    <row r="93" spans="1:20">
      <c r="A93" s="4"/>
      <c r="B93" s="4"/>
      <c r="C93" s="4"/>
      <c r="D93" s="4"/>
      <c r="E93" s="13"/>
      <c r="F93" s="6"/>
      <c r="G93" s="6"/>
      <c r="H93" s="45"/>
      <c r="I93" s="13"/>
      <c r="J93" s="6"/>
      <c r="K93" s="6"/>
      <c r="L93" s="45"/>
      <c r="M93" s="13"/>
      <c r="N93" s="6"/>
      <c r="O93" s="6"/>
      <c r="P93" s="45"/>
      <c r="Q93" s="13"/>
      <c r="R93" s="6"/>
      <c r="S93" s="6"/>
      <c r="T93" s="45"/>
    </row>
    <row r="94" spans="1:20">
      <c r="A94" s="7" t="s">
        <v>97</v>
      </c>
      <c r="B94" s="7" t="s">
        <v>69</v>
      </c>
      <c r="C94" s="7"/>
      <c r="D94" s="7"/>
      <c r="E94" s="18"/>
      <c r="F94" s="7"/>
      <c r="G94" s="7"/>
      <c r="H94" s="47">
        <v>3</v>
      </c>
      <c r="I94" s="18"/>
      <c r="J94" s="7"/>
      <c r="K94" s="7"/>
      <c r="L94" s="47">
        <v>4</v>
      </c>
      <c r="M94" s="18"/>
      <c r="N94" s="7"/>
      <c r="O94" s="7"/>
      <c r="P94" s="47">
        <v>4</v>
      </c>
      <c r="Q94" s="18"/>
      <c r="R94" s="7"/>
      <c r="S94" s="7"/>
      <c r="T94" s="47">
        <v>4</v>
      </c>
    </row>
    <row r="95" spans="1:20" ht="15.75" thickBot="1">
      <c r="A95" s="8" t="s">
        <v>98</v>
      </c>
      <c r="B95" s="8" t="s">
        <v>71</v>
      </c>
      <c r="C95" s="8"/>
      <c r="D95" s="8"/>
      <c r="E95" s="20"/>
      <c r="F95" s="21"/>
      <c r="G95" s="21"/>
      <c r="H95" s="48">
        <v>4</v>
      </c>
      <c r="I95" s="20"/>
      <c r="J95" s="21"/>
      <c r="K95" s="21"/>
      <c r="L95" s="48">
        <v>5</v>
      </c>
      <c r="M95" s="20"/>
      <c r="N95" s="21"/>
      <c r="O95" s="21"/>
      <c r="P95" s="48">
        <v>6</v>
      </c>
      <c r="Q95" s="20"/>
      <c r="R95" s="21"/>
      <c r="S95" s="21"/>
      <c r="T95" s="48">
        <v>6</v>
      </c>
    </row>
    <row r="96" spans="1:20">
      <c r="H96" s="49"/>
      <c r="L96" s="49"/>
      <c r="P96" s="49"/>
      <c r="T96" s="49"/>
    </row>
    <row r="97" spans="1:25">
      <c r="A97" s="9" t="s">
        <v>107</v>
      </c>
      <c r="B97" s="9"/>
      <c r="C97" s="9"/>
      <c r="D97" s="9"/>
      <c r="E97" s="9"/>
      <c r="F97" s="9"/>
      <c r="G97" s="9"/>
      <c r="H97" s="50">
        <f>+H92+H60+H28</f>
        <v>26340</v>
      </c>
      <c r="I97" s="9"/>
      <c r="J97" s="9"/>
      <c r="K97" s="9"/>
      <c r="L97" s="50">
        <f>+L92+L60+L28</f>
        <v>36775</v>
      </c>
      <c r="M97" s="9"/>
      <c r="N97" s="9"/>
      <c r="O97" s="9"/>
      <c r="P97" s="50">
        <f>+P92+P60+P28</f>
        <v>47190</v>
      </c>
      <c r="Q97" s="9"/>
      <c r="R97" s="9"/>
      <c r="S97" s="9"/>
      <c r="T97" s="50">
        <f>+T92+T60+T28</f>
        <v>47190</v>
      </c>
    </row>
    <row r="98" spans="1:25">
      <c r="T98" s="51">
        <f>+T97+P97+L97+H97</f>
        <v>157495</v>
      </c>
    </row>
    <row r="99" spans="1:25" ht="15" customHeight="1">
      <c r="A99" s="4" t="s">
        <v>101</v>
      </c>
      <c r="C99" t="s">
        <v>108</v>
      </c>
      <c r="D99" s="333">
        <f>H99+L99+P99+T99</f>
        <v>9700</v>
      </c>
      <c r="H99" s="44">
        <f>+H2+H34+H66</f>
        <v>0</v>
      </c>
      <c r="I99" s="44"/>
      <c r="J99" s="44"/>
      <c r="K99" s="44"/>
      <c r="L99" s="44">
        <f>+L2+L34+L66</f>
        <v>2500</v>
      </c>
      <c r="M99" s="44"/>
      <c r="N99" s="44"/>
      <c r="O99" s="44"/>
      <c r="P99" s="44">
        <f>+P66*3</f>
        <v>3600</v>
      </c>
      <c r="Q99" s="44"/>
      <c r="R99" s="44"/>
      <c r="S99" s="44"/>
      <c r="T99" s="44">
        <f>+T66*3</f>
        <v>3600</v>
      </c>
      <c r="V99" s="1"/>
      <c r="W99" s="1"/>
      <c r="X99" s="1"/>
      <c r="Y99" s="1"/>
    </row>
    <row r="100" spans="1:25" ht="15" customHeight="1">
      <c r="A100" s="4" t="s">
        <v>70</v>
      </c>
      <c r="C100" t="s">
        <v>108</v>
      </c>
      <c r="D100" s="333">
        <f t="shared" ref="D100:D122" si="24">H100+L100+P100+T100</f>
        <v>33300</v>
      </c>
      <c r="H100" s="44">
        <f>+H3+H35+H67</f>
        <v>4200</v>
      </c>
      <c r="I100" s="44"/>
      <c r="J100" s="44"/>
      <c r="K100" s="44"/>
      <c r="L100" s="44">
        <f>+L3+L35+L67</f>
        <v>7500</v>
      </c>
      <c r="M100" s="44"/>
      <c r="N100" s="44"/>
      <c r="O100" s="44"/>
      <c r="P100" s="44">
        <f>+P67*3</f>
        <v>10800</v>
      </c>
      <c r="Q100" s="44"/>
      <c r="R100" s="44"/>
      <c r="S100" s="44"/>
      <c r="T100" s="44">
        <f>+T67*3</f>
        <v>10800</v>
      </c>
      <c r="V100" s="1"/>
      <c r="W100" s="1"/>
      <c r="X100" s="1"/>
      <c r="Y100" s="1"/>
    </row>
    <row r="101" spans="1:25" ht="15" customHeight="1">
      <c r="A101" s="4" t="s">
        <v>73</v>
      </c>
      <c r="C101" t="s">
        <v>108</v>
      </c>
      <c r="D101" s="333">
        <f t="shared" si="24"/>
        <v>2460</v>
      </c>
      <c r="H101" s="44">
        <f>+H4+H36+H68</f>
        <v>420</v>
      </c>
      <c r="I101" s="44"/>
      <c r="J101" s="44"/>
      <c r="K101" s="44"/>
      <c r="L101" s="44">
        <f>+L4+L36+L68</f>
        <v>600</v>
      </c>
      <c r="M101" s="44"/>
      <c r="N101" s="44"/>
      <c r="O101" s="44"/>
      <c r="P101" s="44">
        <f>+P68*3</f>
        <v>720</v>
      </c>
      <c r="Q101" s="44"/>
      <c r="R101" s="44"/>
      <c r="S101" s="44"/>
      <c r="T101" s="44">
        <f>+T68*3</f>
        <v>720</v>
      </c>
      <c r="V101" s="1"/>
      <c r="W101" s="1"/>
      <c r="X101" s="1"/>
      <c r="Y101" s="1"/>
    </row>
    <row r="102" spans="1:25" ht="15" customHeight="1">
      <c r="A102" s="4" t="s">
        <v>75</v>
      </c>
      <c r="C102" t="s">
        <v>108</v>
      </c>
      <c r="D102" s="333">
        <f t="shared" si="24"/>
        <v>11100</v>
      </c>
      <c r="H102" s="44">
        <f>+H5+H37+H69</f>
        <v>1400</v>
      </c>
      <c r="I102" s="44"/>
      <c r="J102" s="44"/>
      <c r="K102" s="44"/>
      <c r="L102" s="44">
        <f>+L5+L37+L69</f>
        <v>2500</v>
      </c>
      <c r="M102" s="44"/>
      <c r="N102" s="44"/>
      <c r="O102" s="44"/>
      <c r="P102" s="44">
        <f>+P69*3</f>
        <v>3600</v>
      </c>
      <c r="Q102" s="44"/>
      <c r="R102" s="44"/>
      <c r="S102" s="44"/>
      <c r="T102" s="44">
        <f>+T69*3</f>
        <v>3600</v>
      </c>
      <c r="V102" s="1"/>
      <c r="W102" s="1"/>
      <c r="X102" s="1"/>
      <c r="Y102" s="1"/>
    </row>
    <row r="103" spans="1:25" ht="15" customHeight="1">
      <c r="A103" s="4" t="s">
        <v>109</v>
      </c>
      <c r="C103" t="s">
        <v>48</v>
      </c>
      <c r="D103" s="333">
        <f t="shared" si="24"/>
        <v>8640</v>
      </c>
      <c r="H103" s="44">
        <f>+H6+H38+H70</f>
        <v>1440</v>
      </c>
      <c r="I103" s="44"/>
      <c r="J103" s="44"/>
      <c r="K103" s="44"/>
      <c r="L103" s="44">
        <f>+L6+L38+L70</f>
        <v>1800</v>
      </c>
      <c r="M103" s="44"/>
      <c r="N103" s="44"/>
      <c r="O103" s="44"/>
      <c r="P103" s="44">
        <f>+P70*3</f>
        <v>2700</v>
      </c>
      <c r="Q103" s="44"/>
      <c r="R103" s="44"/>
      <c r="S103" s="44"/>
      <c r="T103" s="44">
        <f>+T70*3</f>
        <v>2700</v>
      </c>
      <c r="V103" s="1"/>
      <c r="W103" s="1"/>
      <c r="X103" s="1"/>
      <c r="Y103" s="1"/>
    </row>
    <row r="104" spans="1:25" ht="15" customHeight="1">
      <c r="A104" s="4" t="s">
        <v>77</v>
      </c>
      <c r="C104" t="s">
        <v>108</v>
      </c>
      <c r="D104" s="333">
        <f t="shared" si="24"/>
        <v>1400</v>
      </c>
      <c r="H104" s="44">
        <f>H7+H39+H71</f>
        <v>1400</v>
      </c>
      <c r="I104" s="44"/>
      <c r="J104" s="44"/>
      <c r="K104" s="44"/>
      <c r="L104" s="44"/>
      <c r="M104" s="44"/>
      <c r="N104" s="44"/>
      <c r="O104" s="44"/>
      <c r="P104" s="44"/>
      <c r="Q104" s="44"/>
      <c r="R104" s="44"/>
      <c r="S104" s="44"/>
      <c r="T104" s="44"/>
      <c r="V104" s="1"/>
      <c r="W104" s="1"/>
      <c r="X104" s="1"/>
      <c r="Y104" s="1"/>
    </row>
    <row r="105" spans="1:25" ht="15" customHeight="1">
      <c r="A105" s="5" t="s">
        <v>78</v>
      </c>
      <c r="D105" s="334">
        <f t="shared" si="24"/>
        <v>66600</v>
      </c>
      <c r="H105" s="49">
        <f>SUM(H99:H104)</f>
        <v>8860</v>
      </c>
      <c r="I105" s="44"/>
      <c r="J105" s="44"/>
      <c r="K105" s="44"/>
      <c r="L105" s="49">
        <f>SUM(L99:L103)</f>
        <v>14900</v>
      </c>
      <c r="M105" s="44"/>
      <c r="N105" s="44"/>
      <c r="O105" s="44"/>
      <c r="P105" s="49">
        <f>SUM(P99:P103)</f>
        <v>21420</v>
      </c>
      <c r="Q105" s="44"/>
      <c r="R105" s="44"/>
      <c r="S105" s="44"/>
      <c r="T105" s="49">
        <f>SUM(T99:T103)</f>
        <v>21420</v>
      </c>
      <c r="V105" s="1"/>
      <c r="W105" s="1"/>
      <c r="X105" s="1"/>
      <c r="Y105" s="1"/>
    </row>
    <row r="106" spans="1:25" ht="15" customHeight="1">
      <c r="A106" s="4"/>
      <c r="D106" s="333"/>
      <c r="H106" s="49">
        <f>+SUMIF(A9:A95,A106,H9:H95)</f>
        <v>0</v>
      </c>
      <c r="I106" s="44"/>
      <c r="J106" s="44"/>
      <c r="K106" s="44"/>
      <c r="L106" s="49">
        <f>+SUMIF(E9:E95,E106,L9:L95)</f>
        <v>0</v>
      </c>
      <c r="M106" s="44"/>
      <c r="N106" s="44"/>
      <c r="O106" s="44"/>
      <c r="P106" s="49">
        <f>+SUMIF(I9:I95,I106,P9:P95)</f>
        <v>0</v>
      </c>
      <c r="Q106" s="44"/>
      <c r="R106" s="44"/>
      <c r="S106" s="44"/>
      <c r="T106" s="49">
        <f>+SUMIF(M9:M95,M106,T9:T95)</f>
        <v>0</v>
      </c>
      <c r="V106" s="1"/>
      <c r="W106" s="1"/>
      <c r="X106" s="1"/>
      <c r="Y106" s="1"/>
    </row>
    <row r="107" spans="1:25" ht="15" customHeight="1">
      <c r="A107" s="4" t="s">
        <v>79</v>
      </c>
      <c r="D107" s="333"/>
      <c r="H107" s="49">
        <f>+SUMIF(A10:A96,A107,H10:H96)</f>
        <v>0</v>
      </c>
      <c r="I107" s="44"/>
      <c r="J107" s="44"/>
      <c r="K107" s="44"/>
      <c r="L107" s="49">
        <f>+SUMIF(E10:E96,E107,L10:L96)</f>
        <v>0</v>
      </c>
      <c r="M107" s="44"/>
      <c r="N107" s="44"/>
      <c r="O107" s="44"/>
      <c r="P107" s="49">
        <f>+SUMIF(I10:I96,I107,P10:P96)</f>
        <v>0</v>
      </c>
      <c r="Q107" s="44"/>
      <c r="R107" s="44"/>
      <c r="S107" s="44"/>
      <c r="T107" s="49">
        <f>+SUMIF(M10:M96,M107,T10:T96)</f>
        <v>0</v>
      </c>
      <c r="V107" s="1"/>
      <c r="W107" s="1"/>
      <c r="X107" s="1"/>
      <c r="Y107" s="1"/>
    </row>
    <row r="108" spans="1:25" ht="15" customHeight="1">
      <c r="A108" s="4" t="s">
        <v>80</v>
      </c>
      <c r="C108" t="s">
        <v>110</v>
      </c>
      <c r="D108" s="333">
        <f t="shared" si="24"/>
        <v>11340</v>
      </c>
      <c r="H108" s="44">
        <f>+H11+H43+H75</f>
        <v>2160</v>
      </c>
      <c r="I108" s="44"/>
      <c r="J108" s="44"/>
      <c r="K108" s="44"/>
      <c r="L108" s="44">
        <f>+L11+L43+L75</f>
        <v>2700</v>
      </c>
      <c r="M108" s="44"/>
      <c r="N108" s="44"/>
      <c r="O108" s="44"/>
      <c r="P108" s="44">
        <f t="shared" ref="P108:P112" si="25">+P75*3</f>
        <v>3240</v>
      </c>
      <c r="Q108" s="44"/>
      <c r="R108" s="44"/>
      <c r="S108" s="44"/>
      <c r="T108" s="44">
        <f t="shared" ref="T108:T112" si="26">+T75*3</f>
        <v>3240</v>
      </c>
      <c r="V108" s="1"/>
      <c r="W108" s="1"/>
      <c r="X108" s="1"/>
      <c r="Y108" s="1"/>
    </row>
    <row r="109" spans="1:25" ht="15" customHeight="1">
      <c r="A109" s="4" t="s">
        <v>81</v>
      </c>
      <c r="C109" t="s">
        <v>110</v>
      </c>
      <c r="D109" s="333">
        <f t="shared" si="24"/>
        <v>15120</v>
      </c>
      <c r="H109" s="44">
        <f>+H12+H44+H76</f>
        <v>2880</v>
      </c>
      <c r="I109" s="44"/>
      <c r="J109" s="44"/>
      <c r="K109" s="44"/>
      <c r="L109" s="44">
        <f>+L12+L44+L76</f>
        <v>3600</v>
      </c>
      <c r="M109" s="44"/>
      <c r="N109" s="44"/>
      <c r="O109" s="44"/>
      <c r="P109" s="44">
        <f t="shared" si="25"/>
        <v>4320</v>
      </c>
      <c r="Q109" s="44"/>
      <c r="R109" s="44"/>
      <c r="S109" s="44"/>
      <c r="T109" s="44">
        <f t="shared" si="26"/>
        <v>4320</v>
      </c>
      <c r="V109" s="1"/>
      <c r="W109" s="1"/>
      <c r="X109" s="1"/>
      <c r="Y109" s="1"/>
    </row>
    <row r="110" spans="1:25" ht="15" customHeight="1">
      <c r="A110" s="4" t="s">
        <v>82</v>
      </c>
      <c r="C110" t="s">
        <v>110</v>
      </c>
      <c r="D110" s="333">
        <f t="shared" si="24"/>
        <v>3780</v>
      </c>
      <c r="H110" s="44">
        <f>+H13+H45+H77</f>
        <v>720</v>
      </c>
      <c r="I110" s="44"/>
      <c r="J110" s="44"/>
      <c r="K110" s="44"/>
      <c r="L110" s="44">
        <f>+L13+L45+L77</f>
        <v>900</v>
      </c>
      <c r="M110" s="44"/>
      <c r="N110" s="44"/>
      <c r="O110" s="44"/>
      <c r="P110" s="44">
        <f t="shared" si="25"/>
        <v>1079.9999999999998</v>
      </c>
      <c r="Q110" s="44"/>
      <c r="R110" s="44"/>
      <c r="S110" s="44"/>
      <c r="T110" s="44">
        <f t="shared" si="26"/>
        <v>1079.9999999999998</v>
      </c>
      <c r="V110" s="1"/>
      <c r="W110" s="1"/>
      <c r="X110" s="1"/>
      <c r="Y110" s="1"/>
    </row>
    <row r="111" spans="1:25" ht="15" customHeight="1">
      <c r="A111" s="4" t="s">
        <v>83</v>
      </c>
      <c r="C111" t="s">
        <v>110</v>
      </c>
      <c r="D111" s="333">
        <f t="shared" si="24"/>
        <v>5040</v>
      </c>
      <c r="H111" s="44">
        <f>+H14+H46+H78</f>
        <v>960</v>
      </c>
      <c r="I111" s="44"/>
      <c r="J111" s="44"/>
      <c r="K111" s="44"/>
      <c r="L111" s="44">
        <f>+L14+L46+L78</f>
        <v>1200</v>
      </c>
      <c r="M111" s="44"/>
      <c r="N111" s="44"/>
      <c r="O111" s="44"/>
      <c r="P111" s="44">
        <f t="shared" si="25"/>
        <v>1440</v>
      </c>
      <c r="Q111" s="44"/>
      <c r="R111" s="44"/>
      <c r="S111" s="44"/>
      <c r="T111" s="44">
        <f t="shared" si="26"/>
        <v>1440</v>
      </c>
      <c r="V111" s="1"/>
      <c r="W111" s="1"/>
      <c r="X111" s="1"/>
      <c r="Y111" s="1"/>
    </row>
    <row r="112" spans="1:25" ht="15" customHeight="1">
      <c r="A112" s="4" t="s">
        <v>84</v>
      </c>
      <c r="C112" t="s">
        <v>110</v>
      </c>
      <c r="D112" s="333">
        <f t="shared" si="24"/>
        <v>5040</v>
      </c>
      <c r="H112" s="44">
        <f>+H15+H47+H79</f>
        <v>960</v>
      </c>
      <c r="I112" s="44"/>
      <c r="J112" s="44"/>
      <c r="K112" s="44"/>
      <c r="L112" s="44">
        <f>+L15+L47+L79</f>
        <v>1200</v>
      </c>
      <c r="M112" s="44"/>
      <c r="N112" s="44"/>
      <c r="O112" s="44"/>
      <c r="P112" s="44">
        <f t="shared" si="25"/>
        <v>1440</v>
      </c>
      <c r="Q112" s="44"/>
      <c r="R112" s="44"/>
      <c r="S112" s="44"/>
      <c r="T112" s="44">
        <f t="shared" si="26"/>
        <v>1440</v>
      </c>
      <c r="V112" s="1"/>
      <c r="W112" s="1"/>
      <c r="X112" s="1"/>
      <c r="Y112" s="1"/>
    </row>
    <row r="113" spans="1:26" ht="15" customHeight="1">
      <c r="A113" s="5" t="s">
        <v>85</v>
      </c>
      <c r="D113" s="334">
        <f t="shared" si="24"/>
        <v>40320</v>
      </c>
      <c r="H113" s="49">
        <f>SUM(H106:H112)</f>
        <v>7680</v>
      </c>
      <c r="I113" s="44"/>
      <c r="J113" s="44"/>
      <c r="K113" s="44"/>
      <c r="L113" s="49">
        <f>SUM(L106:L112)</f>
        <v>9600</v>
      </c>
      <c r="M113" s="44"/>
      <c r="N113" s="44"/>
      <c r="O113" s="44"/>
      <c r="P113" s="49">
        <f>SUM(P106:P112)</f>
        <v>11520</v>
      </c>
      <c r="Q113" s="44"/>
      <c r="R113" s="44"/>
      <c r="S113" s="44"/>
      <c r="T113" s="49">
        <f>SUM(T106:T112)</f>
        <v>11520</v>
      </c>
      <c r="V113" s="1"/>
      <c r="W113" s="1"/>
      <c r="X113" s="1"/>
      <c r="Y113" s="1"/>
    </row>
    <row r="114" spans="1:26" ht="15" customHeight="1">
      <c r="A114" s="4"/>
      <c r="D114" s="333"/>
      <c r="H114" s="49">
        <f>+SUMIF(A17:A103,A114,H17:H103)</f>
        <v>0</v>
      </c>
      <c r="I114" s="44"/>
      <c r="J114" s="44"/>
      <c r="K114" s="44"/>
      <c r="L114" s="49">
        <f>+SUMIF(E17:E103,E114,L17:L103)</f>
        <v>0</v>
      </c>
      <c r="M114" s="44"/>
      <c r="N114" s="44"/>
      <c r="O114" s="44"/>
      <c r="P114" s="49">
        <f>+SUMIF(I17:I103,I114,P17:P103)</f>
        <v>0</v>
      </c>
      <c r="Q114" s="44"/>
      <c r="R114" s="44"/>
      <c r="S114" s="44"/>
      <c r="T114" s="49">
        <f>+SUMIF(M17:M103,M114,T17:T103)</f>
        <v>0</v>
      </c>
      <c r="V114" s="1"/>
      <c r="W114" s="1"/>
      <c r="X114" s="1"/>
      <c r="Y114" s="1"/>
    </row>
    <row r="115" spans="1:26" ht="15" customHeight="1">
      <c r="A115" s="4" t="s">
        <v>86</v>
      </c>
      <c r="D115" s="333"/>
      <c r="H115" s="49">
        <f t="shared" ref="H115" si="27">+H82*3</f>
        <v>0</v>
      </c>
      <c r="I115" s="44"/>
      <c r="J115" s="44"/>
      <c r="K115" s="44"/>
      <c r="L115" s="49">
        <f t="shared" ref="L115" si="28">+L82*3</f>
        <v>0</v>
      </c>
      <c r="M115" s="44"/>
      <c r="N115" s="44"/>
      <c r="O115" s="44"/>
      <c r="P115" s="49">
        <f t="shared" ref="P115:P122" si="29">+P82*3</f>
        <v>0</v>
      </c>
      <c r="Q115" s="44"/>
      <c r="R115" s="44"/>
      <c r="S115" s="44"/>
      <c r="T115" s="49">
        <f t="shared" ref="T115:T122" si="30">+T82*3</f>
        <v>0</v>
      </c>
      <c r="V115" s="1"/>
      <c r="W115" s="1"/>
      <c r="X115" s="1"/>
      <c r="Y115" s="1"/>
    </row>
    <row r="116" spans="1:26" ht="15" customHeight="1">
      <c r="A116" s="4" t="s">
        <v>87</v>
      </c>
      <c r="C116" t="s">
        <v>110</v>
      </c>
      <c r="D116" s="333">
        <f t="shared" si="24"/>
        <v>9450</v>
      </c>
      <c r="H116" s="44">
        <f t="shared" ref="H116:H122" si="31">+H19+H51+H83</f>
        <v>1800</v>
      </c>
      <c r="I116" s="44"/>
      <c r="J116" s="44"/>
      <c r="K116" s="44"/>
      <c r="L116" s="44">
        <f t="shared" ref="L116:L122" si="32">+L19+L51+L83</f>
        <v>2250</v>
      </c>
      <c r="M116" s="44"/>
      <c r="N116" s="44"/>
      <c r="O116" s="44"/>
      <c r="P116" s="44">
        <f t="shared" si="29"/>
        <v>2700</v>
      </c>
      <c r="Q116" s="44"/>
      <c r="R116" s="44"/>
      <c r="S116" s="44"/>
      <c r="T116" s="44">
        <f t="shared" si="30"/>
        <v>2700</v>
      </c>
      <c r="V116" s="1"/>
      <c r="W116" s="1"/>
      <c r="X116" s="1"/>
      <c r="Y116" s="1"/>
    </row>
    <row r="117" spans="1:26" ht="15" customHeight="1">
      <c r="A117" s="4" t="s">
        <v>88</v>
      </c>
      <c r="C117" t="s">
        <v>110</v>
      </c>
      <c r="D117" s="333">
        <f t="shared" si="24"/>
        <v>3150</v>
      </c>
      <c r="H117" s="44">
        <f t="shared" si="31"/>
        <v>600</v>
      </c>
      <c r="I117" s="44"/>
      <c r="J117" s="44"/>
      <c r="K117" s="44"/>
      <c r="L117" s="44">
        <f t="shared" si="32"/>
        <v>750</v>
      </c>
      <c r="M117" s="44"/>
      <c r="N117" s="44"/>
      <c r="O117" s="44"/>
      <c r="P117" s="44">
        <f t="shared" si="29"/>
        <v>900</v>
      </c>
      <c r="Q117" s="44"/>
      <c r="R117" s="44"/>
      <c r="S117" s="44"/>
      <c r="T117" s="44">
        <f t="shared" si="30"/>
        <v>900</v>
      </c>
      <c r="V117" s="1"/>
      <c r="W117" s="1"/>
      <c r="X117" s="1"/>
      <c r="Y117" s="1"/>
    </row>
    <row r="118" spans="1:26" ht="15" customHeight="1">
      <c r="A118" s="4" t="s">
        <v>89</v>
      </c>
      <c r="C118" t="s">
        <v>26</v>
      </c>
      <c r="D118" s="333">
        <f t="shared" si="24"/>
        <v>20500</v>
      </c>
      <c r="H118" s="44">
        <f t="shared" si="31"/>
        <v>3500</v>
      </c>
      <c r="I118" s="44"/>
      <c r="J118" s="44"/>
      <c r="K118" s="44"/>
      <c r="L118" s="44">
        <f t="shared" si="32"/>
        <v>5000</v>
      </c>
      <c r="M118" s="44"/>
      <c r="N118" s="44"/>
      <c r="O118" s="44"/>
      <c r="P118" s="44">
        <f t="shared" si="29"/>
        <v>6000</v>
      </c>
      <c r="Q118" s="44"/>
      <c r="R118" s="44"/>
      <c r="S118" s="44"/>
      <c r="T118" s="44">
        <f t="shared" si="30"/>
        <v>6000</v>
      </c>
      <c r="V118" s="1"/>
      <c r="W118" s="1"/>
      <c r="X118" s="1"/>
      <c r="Y118" s="1"/>
    </row>
    <row r="119" spans="1:26" ht="15" customHeight="1">
      <c r="A119" s="4" t="s">
        <v>111</v>
      </c>
      <c r="C119" t="s">
        <v>112</v>
      </c>
      <c r="D119" s="333">
        <f t="shared" si="24"/>
        <v>6000</v>
      </c>
      <c r="H119" s="44">
        <f t="shared" si="31"/>
        <v>1500</v>
      </c>
      <c r="I119" s="44"/>
      <c r="J119" s="44"/>
      <c r="K119" s="44"/>
      <c r="L119" s="44">
        <f t="shared" si="32"/>
        <v>1500</v>
      </c>
      <c r="M119" s="44"/>
      <c r="N119" s="44"/>
      <c r="O119" s="44"/>
      <c r="P119" s="44">
        <f t="shared" si="29"/>
        <v>1500</v>
      </c>
      <c r="Q119" s="44"/>
      <c r="R119" s="44"/>
      <c r="S119" s="44"/>
      <c r="T119" s="44">
        <f t="shared" si="30"/>
        <v>1500</v>
      </c>
      <c r="V119" s="1"/>
      <c r="W119" s="1"/>
      <c r="X119" s="1"/>
      <c r="Y119" s="1"/>
    </row>
    <row r="120" spans="1:26" ht="15" customHeight="1">
      <c r="A120" s="4" t="s">
        <v>92</v>
      </c>
      <c r="C120" t="s">
        <v>26</v>
      </c>
      <c r="D120" s="333">
        <f t="shared" si="24"/>
        <v>3600</v>
      </c>
      <c r="H120" s="44">
        <f t="shared" si="31"/>
        <v>900</v>
      </c>
      <c r="I120" s="44"/>
      <c r="J120" s="44"/>
      <c r="K120" s="44"/>
      <c r="L120" s="44">
        <f t="shared" si="32"/>
        <v>900</v>
      </c>
      <c r="M120" s="44"/>
      <c r="N120" s="44"/>
      <c r="O120" s="44"/>
      <c r="P120" s="44">
        <f t="shared" si="29"/>
        <v>900</v>
      </c>
      <c r="Q120" s="44"/>
      <c r="R120" s="44"/>
      <c r="S120" s="44"/>
      <c r="T120" s="44">
        <f t="shared" si="30"/>
        <v>900</v>
      </c>
      <c r="V120" s="1"/>
      <c r="W120" s="1"/>
      <c r="X120" s="1"/>
      <c r="Y120" s="1"/>
    </row>
    <row r="121" spans="1:26" ht="15" customHeight="1">
      <c r="A121" s="4" t="s">
        <v>93</v>
      </c>
      <c r="C121" t="s">
        <v>26</v>
      </c>
      <c r="D121" s="333">
        <f t="shared" si="24"/>
        <v>4725</v>
      </c>
      <c r="H121" s="44">
        <f t="shared" si="31"/>
        <v>900</v>
      </c>
      <c r="I121" s="44"/>
      <c r="J121" s="44"/>
      <c r="K121" s="44"/>
      <c r="L121" s="44">
        <f t="shared" si="32"/>
        <v>1125</v>
      </c>
      <c r="M121" s="44"/>
      <c r="N121" s="44"/>
      <c r="O121" s="44"/>
      <c r="P121" s="44">
        <f t="shared" si="29"/>
        <v>1350</v>
      </c>
      <c r="Q121" s="44"/>
      <c r="R121" s="44"/>
      <c r="S121" s="44"/>
      <c r="T121" s="44">
        <f t="shared" si="30"/>
        <v>1350</v>
      </c>
      <c r="V121" s="1"/>
      <c r="W121" s="1"/>
      <c r="X121" s="1"/>
      <c r="Y121" s="1"/>
    </row>
    <row r="122" spans="1:26" ht="15" customHeight="1">
      <c r="A122" s="4" t="s">
        <v>94</v>
      </c>
      <c r="C122" t="s">
        <v>26</v>
      </c>
      <c r="D122" s="333">
        <f t="shared" si="24"/>
        <v>3150</v>
      </c>
      <c r="H122" s="44">
        <f t="shared" si="31"/>
        <v>600</v>
      </c>
      <c r="I122" s="44"/>
      <c r="J122" s="44"/>
      <c r="K122" s="44"/>
      <c r="L122" s="44">
        <f t="shared" si="32"/>
        <v>750</v>
      </c>
      <c r="M122" s="44"/>
      <c r="N122" s="44"/>
      <c r="O122" s="44"/>
      <c r="P122" s="44">
        <f t="shared" si="29"/>
        <v>900</v>
      </c>
      <c r="Q122" s="44"/>
      <c r="R122" s="44"/>
      <c r="S122" s="44"/>
      <c r="T122" s="44">
        <f t="shared" si="30"/>
        <v>900</v>
      </c>
      <c r="V122" s="1"/>
      <c r="W122" s="1"/>
      <c r="X122" s="1"/>
      <c r="Y122" s="1"/>
    </row>
    <row r="123" spans="1:26" ht="15" customHeight="1">
      <c r="D123" s="333"/>
      <c r="H123" s="49"/>
      <c r="I123" s="44"/>
      <c r="J123" s="44"/>
      <c r="K123" s="44"/>
      <c r="L123" s="49"/>
      <c r="M123" s="44"/>
      <c r="N123" s="44"/>
      <c r="O123" s="44"/>
      <c r="P123" s="49"/>
      <c r="Q123" s="44"/>
      <c r="R123" s="44"/>
      <c r="S123" s="44"/>
      <c r="T123" s="49"/>
      <c r="V123" s="1"/>
      <c r="W123" s="1"/>
      <c r="X123" s="1"/>
      <c r="Y123" s="1"/>
    </row>
    <row r="124" spans="1:26" ht="15" customHeight="1">
      <c r="D124" s="334">
        <f>D105+D113+D116+D117+D118+D119+D120+D121+D122</f>
        <v>157495</v>
      </c>
      <c r="H124" s="49">
        <f>+H105+H113+SUM(H116:H122)</f>
        <v>26340</v>
      </c>
      <c r="I124" s="44"/>
      <c r="J124" s="44"/>
      <c r="K124" s="44"/>
      <c r="L124" s="49">
        <f>+L105+L113+SUM(L116:L122)</f>
        <v>36775</v>
      </c>
      <c r="M124" s="44"/>
      <c r="N124" s="44"/>
      <c r="O124" s="44"/>
      <c r="P124" s="49">
        <f>+P105+P113+SUM(P116:P122)</f>
        <v>47190</v>
      </c>
      <c r="Q124" s="44"/>
      <c r="R124" s="44"/>
      <c r="S124" s="44"/>
      <c r="T124" s="49">
        <f>+T105+T113+SUM(T116:T122)</f>
        <v>47190</v>
      </c>
      <c r="V124" s="1"/>
      <c r="W124" s="1"/>
      <c r="X124" s="1"/>
      <c r="Y124" s="1"/>
    </row>
    <row r="125" spans="1:26" ht="15" customHeight="1"/>
    <row r="126" spans="1:26" ht="15" customHeight="1"/>
    <row r="127" spans="1:26">
      <c r="A127" s="365"/>
      <c r="B127" s="365"/>
      <c r="C127" s="479"/>
      <c r="D127" s="479"/>
      <c r="E127" s="479"/>
      <c r="F127" s="479"/>
      <c r="G127" s="479"/>
      <c r="H127" s="479"/>
      <c r="I127" s="479"/>
      <c r="J127" s="479"/>
      <c r="K127" s="479"/>
      <c r="L127" s="479"/>
      <c r="M127" s="479"/>
      <c r="N127" s="479"/>
      <c r="O127" s="479"/>
      <c r="P127" s="479"/>
      <c r="Q127" s="479"/>
      <c r="R127" s="479"/>
      <c r="S127" s="479"/>
      <c r="T127" s="479"/>
      <c r="U127" s="365"/>
      <c r="V127" s="365"/>
      <c r="W127" s="365"/>
      <c r="X127" s="365"/>
      <c r="Y127" s="365"/>
      <c r="Z127" s="365"/>
    </row>
    <row r="128" spans="1:26">
      <c r="A128" s="365"/>
      <c r="B128" s="365"/>
      <c r="C128" s="365"/>
      <c r="D128" s="480"/>
      <c r="E128" s="479"/>
      <c r="F128" s="479"/>
      <c r="G128" s="479"/>
      <c r="H128" s="479"/>
      <c r="I128" s="479"/>
      <c r="J128" s="479"/>
      <c r="K128" s="479"/>
      <c r="L128" s="479"/>
      <c r="M128" s="479"/>
      <c r="N128" s="479"/>
      <c r="O128" s="479"/>
      <c r="P128" s="479"/>
      <c r="Q128" s="479"/>
      <c r="R128" s="479"/>
      <c r="S128" s="479"/>
      <c r="T128" s="479"/>
      <c r="U128" s="365"/>
      <c r="V128" s="365"/>
      <c r="W128" s="365"/>
      <c r="X128" s="365"/>
      <c r="Y128" s="365"/>
      <c r="Z128" s="365"/>
    </row>
    <row r="129" spans="1:26">
      <c r="A129" s="365"/>
      <c r="B129" s="365"/>
      <c r="C129" s="365"/>
      <c r="D129" s="479"/>
      <c r="E129" s="479"/>
      <c r="F129" s="479"/>
      <c r="G129" s="479"/>
      <c r="H129" s="479"/>
      <c r="I129" s="479"/>
      <c r="J129" s="479"/>
      <c r="K129" s="479"/>
      <c r="L129" s="479"/>
      <c r="M129" s="479"/>
      <c r="N129" s="479"/>
      <c r="O129" s="479"/>
      <c r="P129" s="479"/>
      <c r="Q129" s="479"/>
      <c r="R129" s="479"/>
      <c r="S129" s="479"/>
      <c r="T129" s="479"/>
      <c r="U129" s="365"/>
      <c r="V129" s="365"/>
      <c r="W129" s="365"/>
      <c r="X129" s="365"/>
      <c r="Y129" s="365"/>
      <c r="Z129" s="365"/>
    </row>
    <row r="130" spans="1:26">
      <c r="A130" s="365"/>
      <c r="B130" s="365"/>
      <c r="C130" s="365"/>
      <c r="D130" s="480"/>
      <c r="E130" s="479"/>
      <c r="F130" s="479"/>
      <c r="G130" s="479"/>
      <c r="H130" s="480"/>
      <c r="I130" s="480"/>
      <c r="J130" s="480"/>
      <c r="K130" s="480"/>
      <c r="L130" s="480"/>
      <c r="M130" s="480"/>
      <c r="N130" s="480"/>
      <c r="O130" s="480"/>
      <c r="P130" s="480"/>
      <c r="Q130" s="480"/>
      <c r="R130" s="480"/>
      <c r="S130" s="480"/>
      <c r="T130" s="480"/>
      <c r="U130" s="365"/>
      <c r="V130" s="365"/>
      <c r="W130" s="365"/>
      <c r="X130" s="365"/>
      <c r="Y130" s="365"/>
      <c r="Z130" s="365"/>
    </row>
    <row r="131" spans="1:26">
      <c r="A131" s="365"/>
      <c r="B131" s="365"/>
      <c r="C131" s="365"/>
      <c r="D131" s="365"/>
      <c r="E131" s="365"/>
      <c r="F131" s="365"/>
      <c r="G131" s="365"/>
      <c r="H131" s="479"/>
      <c r="I131" s="365"/>
      <c r="J131" s="365"/>
      <c r="K131" s="365"/>
      <c r="L131" s="365"/>
      <c r="M131" s="365"/>
      <c r="N131" s="365"/>
      <c r="O131" s="365"/>
      <c r="P131" s="365"/>
      <c r="Q131" s="365"/>
      <c r="R131" s="365"/>
      <c r="S131" s="365"/>
      <c r="T131" s="365"/>
      <c r="U131" s="365"/>
      <c r="V131" s="365"/>
      <c r="W131" s="365"/>
      <c r="X131" s="365"/>
      <c r="Y131" s="365"/>
      <c r="Z131" s="365"/>
    </row>
    <row r="132" spans="1:26">
      <c r="A132" s="365"/>
      <c r="B132" s="365"/>
      <c r="C132" s="365"/>
      <c r="D132" s="365"/>
      <c r="E132" s="365"/>
      <c r="F132" s="365"/>
      <c r="G132" s="365"/>
      <c r="H132" s="479"/>
      <c r="I132" s="365"/>
      <c r="J132" s="365"/>
      <c r="K132" s="365"/>
      <c r="L132" s="365"/>
      <c r="M132" s="365"/>
      <c r="N132" s="365"/>
      <c r="O132" s="365"/>
      <c r="P132" s="365"/>
      <c r="Q132" s="365"/>
      <c r="R132" s="365"/>
      <c r="S132" s="365"/>
      <c r="T132" s="365"/>
      <c r="U132" s="365"/>
      <c r="V132" s="365"/>
      <c r="W132" s="365"/>
      <c r="X132" s="365"/>
      <c r="Y132" s="365"/>
      <c r="Z132" s="365"/>
    </row>
  </sheetData>
  <pageMargins left="0.25" right="0.25" top="0.75" bottom="0.75" header="0.3" footer="0.3"/>
  <pageSetup paperSize="8" scale="61" fitToWidth="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B161"/>
  <sheetViews>
    <sheetView topLeftCell="A28" zoomScale="96" zoomScaleNormal="96" workbookViewId="0" xr3:uid="{842E5F09-E766-5B8D-85AF-A39847EA96FD}">
      <pane xSplit="1" topLeftCell="V1" activePane="topRight" state="frozen"/>
      <selection activeCell="A4" sqref="A4"/>
      <selection pane="topRight" activeCell="AB46" sqref="AB46"/>
    </sheetView>
  </sheetViews>
  <sheetFormatPr defaultRowHeight="12.75"/>
  <cols>
    <col min="1" max="1" width="44.7109375" style="65" bestFit="1" customWidth="1"/>
    <col min="2" max="2" width="15.140625" style="65" customWidth="1"/>
    <col min="3" max="3" width="18.140625" style="65" customWidth="1"/>
    <col min="4" max="26" width="15.140625" style="65" customWidth="1"/>
    <col min="27" max="27" width="13.7109375" style="65" customWidth="1"/>
    <col min="28" max="28" width="12.140625" style="65" customWidth="1"/>
    <col min="29" max="29" width="11.28515625" style="238" customWidth="1"/>
    <col min="30" max="30" width="11.140625" style="65" customWidth="1"/>
    <col min="31" max="31" width="11.28515625" style="238" customWidth="1"/>
    <col min="32" max="16384" width="9.140625" style="65"/>
  </cols>
  <sheetData>
    <row r="1" spans="1:132" hidden="1">
      <c r="B1" s="502" t="s">
        <v>99</v>
      </c>
      <c r="C1" s="503"/>
      <c r="D1" s="503"/>
      <c r="E1" s="503"/>
      <c r="F1" s="503"/>
      <c r="G1" s="503"/>
      <c r="H1" s="504"/>
      <c r="I1" s="494"/>
      <c r="J1" s="505" t="s">
        <v>63</v>
      </c>
      <c r="K1" s="506"/>
      <c r="L1" s="506"/>
      <c r="M1" s="506"/>
      <c r="N1" s="506"/>
      <c r="O1" s="506"/>
      <c r="P1" s="507"/>
      <c r="Q1" s="387"/>
      <c r="R1" s="506" t="s">
        <v>105</v>
      </c>
      <c r="S1" s="506"/>
      <c r="T1" s="506"/>
      <c r="U1" s="506"/>
      <c r="V1" s="506"/>
      <c r="W1" s="506"/>
      <c r="X1" s="508"/>
      <c r="Y1" s="496"/>
      <c r="Z1" s="496"/>
      <c r="AA1" s="66"/>
      <c r="AB1" s="66"/>
      <c r="AC1" s="67"/>
      <c r="AD1" s="67"/>
      <c r="AE1" s="67"/>
    </row>
    <row r="2" spans="1:132" hidden="1">
      <c r="A2" s="509" t="s">
        <v>113</v>
      </c>
      <c r="B2" s="68" t="s">
        <v>114</v>
      </c>
      <c r="C2" s="69" t="s">
        <v>114</v>
      </c>
      <c r="D2" s="69" t="s">
        <v>114</v>
      </c>
      <c r="E2" s="69" t="s">
        <v>114</v>
      </c>
      <c r="F2" s="69" t="s">
        <v>114</v>
      </c>
      <c r="G2" s="69" t="s">
        <v>114</v>
      </c>
      <c r="H2" s="70" t="s">
        <v>114</v>
      </c>
      <c r="I2" s="70"/>
      <c r="J2" s="69" t="s">
        <v>114</v>
      </c>
      <c r="K2" s="69" t="s">
        <v>114</v>
      </c>
      <c r="L2" s="69" t="s">
        <v>114</v>
      </c>
      <c r="M2" s="69" t="s">
        <v>114</v>
      </c>
      <c r="N2" s="69" t="s">
        <v>114</v>
      </c>
      <c r="O2" s="69" t="s">
        <v>114</v>
      </c>
      <c r="P2" s="388" t="s">
        <v>114</v>
      </c>
      <c r="Q2" s="392"/>
      <c r="R2" s="69" t="s">
        <v>114</v>
      </c>
      <c r="S2" s="69" t="s">
        <v>114</v>
      </c>
      <c r="T2" s="69" t="s">
        <v>114</v>
      </c>
      <c r="U2" s="69" t="s">
        <v>114</v>
      </c>
      <c r="V2" s="69" t="s">
        <v>114</v>
      </c>
      <c r="W2" s="69" t="s">
        <v>114</v>
      </c>
      <c r="X2" s="71" t="s">
        <v>114</v>
      </c>
      <c r="Y2" s="70"/>
      <c r="Z2" s="495"/>
      <c r="AA2" s="72" t="s">
        <v>115</v>
      </c>
      <c r="AB2" s="72" t="s">
        <v>114</v>
      </c>
      <c r="AC2" s="73" t="s">
        <v>1</v>
      </c>
      <c r="AD2" s="73" t="s">
        <v>116</v>
      </c>
      <c r="AE2" s="73" t="s">
        <v>117</v>
      </c>
    </row>
    <row r="3" spans="1:132" hidden="1">
      <c r="A3" s="510"/>
      <c r="B3" s="74"/>
      <c r="C3" s="75"/>
      <c r="D3" s="75"/>
      <c r="E3" s="75"/>
      <c r="F3" s="75"/>
      <c r="G3" s="75"/>
      <c r="H3" s="76"/>
      <c r="I3" s="76"/>
      <c r="J3" s="75"/>
      <c r="K3" s="75"/>
      <c r="L3" s="75"/>
      <c r="M3" s="75"/>
      <c r="N3" s="75"/>
      <c r="O3" s="75"/>
      <c r="P3" s="75"/>
      <c r="Q3" s="76"/>
      <c r="R3" s="75"/>
      <c r="S3" s="75"/>
      <c r="T3" s="75"/>
      <c r="U3" s="75"/>
      <c r="V3" s="75"/>
      <c r="W3" s="75"/>
      <c r="X3" s="77"/>
      <c r="Y3" s="76"/>
      <c r="Z3" s="77"/>
      <c r="AA3" s="78"/>
      <c r="AB3" s="79"/>
      <c r="AC3" s="80"/>
      <c r="AD3" s="80"/>
      <c r="AE3" s="80"/>
    </row>
    <row r="4" spans="1:132" ht="76.5">
      <c r="A4" s="81" t="s">
        <v>118</v>
      </c>
      <c r="B4" s="82" t="s">
        <v>119</v>
      </c>
      <c r="C4" s="83" t="s">
        <v>120</v>
      </c>
      <c r="D4" s="346" t="s">
        <v>121</v>
      </c>
      <c r="E4" s="83" t="s">
        <v>122</v>
      </c>
      <c r="F4" s="83" t="s">
        <v>123</v>
      </c>
      <c r="G4" s="83" t="s">
        <v>124</v>
      </c>
      <c r="H4" s="83" t="s">
        <v>125</v>
      </c>
      <c r="I4" s="84" t="s">
        <v>126</v>
      </c>
      <c r="J4" s="346" t="s">
        <v>127</v>
      </c>
      <c r="K4" s="83" t="s">
        <v>128</v>
      </c>
      <c r="L4" s="346" t="s">
        <v>129</v>
      </c>
      <c r="M4" s="83" t="s">
        <v>125</v>
      </c>
      <c r="N4" s="83" t="s">
        <v>120</v>
      </c>
      <c r="O4" s="83" t="s">
        <v>123</v>
      </c>
      <c r="P4" s="83" t="s">
        <v>124</v>
      </c>
      <c r="Q4" s="84" t="s">
        <v>130</v>
      </c>
      <c r="R4" s="83" t="s">
        <v>128</v>
      </c>
      <c r="S4" s="83" t="s">
        <v>122</v>
      </c>
      <c r="T4" s="83" t="s">
        <v>125</v>
      </c>
      <c r="U4" s="83" t="s">
        <v>123</v>
      </c>
      <c r="V4" s="83" t="s">
        <v>124</v>
      </c>
      <c r="W4" s="347" t="s">
        <v>131</v>
      </c>
      <c r="X4" s="346" t="s">
        <v>132</v>
      </c>
      <c r="Y4" s="84" t="s">
        <v>133</v>
      </c>
      <c r="Z4" s="398" t="s">
        <v>134</v>
      </c>
      <c r="AA4" s="86"/>
      <c r="AB4" s="329" t="s">
        <v>114</v>
      </c>
      <c r="AC4" s="328" t="s">
        <v>135</v>
      </c>
      <c r="AD4" s="80" t="s">
        <v>116</v>
      </c>
      <c r="AE4" s="328" t="s">
        <v>136</v>
      </c>
    </row>
    <row r="5" spans="1:132" ht="30" customHeight="1">
      <c r="A5" s="81" t="s">
        <v>137</v>
      </c>
      <c r="B5" s="82" t="s">
        <v>138</v>
      </c>
      <c r="C5" s="83" t="s">
        <v>139</v>
      </c>
      <c r="D5" s="83" t="s">
        <v>140</v>
      </c>
      <c r="E5" s="83" t="s">
        <v>141</v>
      </c>
      <c r="F5" s="83" t="s">
        <v>142</v>
      </c>
      <c r="G5" s="83" t="s">
        <v>143</v>
      </c>
      <c r="H5" s="83" t="s">
        <v>143</v>
      </c>
      <c r="I5" s="84"/>
      <c r="J5" s="83" t="s">
        <v>141</v>
      </c>
      <c r="K5" s="83" t="s">
        <v>140</v>
      </c>
      <c r="L5" s="83" t="s">
        <v>138</v>
      </c>
      <c r="M5" s="83" t="s">
        <v>143</v>
      </c>
      <c r="N5" s="83" t="s">
        <v>139</v>
      </c>
      <c r="O5" s="83" t="s">
        <v>142</v>
      </c>
      <c r="P5" s="83" t="s">
        <v>143</v>
      </c>
      <c r="Q5" s="84"/>
      <c r="R5" s="83" t="s">
        <v>140</v>
      </c>
      <c r="S5" s="83" t="s">
        <v>141</v>
      </c>
      <c r="T5" s="83" t="s">
        <v>143</v>
      </c>
      <c r="U5" s="83" t="s">
        <v>142</v>
      </c>
      <c r="V5" s="83" t="s">
        <v>143</v>
      </c>
      <c r="W5" s="83" t="s">
        <v>144</v>
      </c>
      <c r="X5" s="83" t="s">
        <v>139</v>
      </c>
      <c r="Y5" s="84"/>
      <c r="Z5" s="85"/>
      <c r="AA5" s="86"/>
      <c r="AB5" s="87"/>
      <c r="AC5" s="80"/>
      <c r="AD5" s="80"/>
      <c r="AE5" s="80"/>
    </row>
    <row r="6" spans="1:132" ht="51">
      <c r="A6" s="81" t="s">
        <v>145</v>
      </c>
      <c r="B6" s="52" t="s">
        <v>146</v>
      </c>
      <c r="C6" s="53" t="s">
        <v>147</v>
      </c>
      <c r="D6" s="53" t="s">
        <v>148</v>
      </c>
      <c r="E6" s="53" t="s">
        <v>149</v>
      </c>
      <c r="F6" s="53" t="s">
        <v>150</v>
      </c>
      <c r="G6" s="53" t="s">
        <v>151</v>
      </c>
      <c r="H6" s="53" t="s">
        <v>152</v>
      </c>
      <c r="I6" s="54"/>
      <c r="J6" s="53" t="s">
        <v>153</v>
      </c>
      <c r="K6" s="53" t="s">
        <v>154</v>
      </c>
      <c r="L6" s="53" t="s">
        <v>154</v>
      </c>
      <c r="M6" s="53" t="s">
        <v>155</v>
      </c>
      <c r="N6" s="53" t="s">
        <v>156</v>
      </c>
      <c r="O6" s="53" t="s">
        <v>157</v>
      </c>
      <c r="P6" s="53" t="s">
        <v>158</v>
      </c>
      <c r="Q6" s="54"/>
      <c r="R6" s="53" t="s">
        <v>159</v>
      </c>
      <c r="S6" s="53" t="s">
        <v>160</v>
      </c>
      <c r="T6" s="53" t="s">
        <v>161</v>
      </c>
      <c r="U6" s="53" t="s">
        <v>159</v>
      </c>
      <c r="V6" s="53" t="s">
        <v>162</v>
      </c>
      <c r="W6" s="53" t="s">
        <v>163</v>
      </c>
      <c r="X6" s="53" t="s">
        <v>164</v>
      </c>
      <c r="Y6" s="54"/>
      <c r="Z6" s="55"/>
      <c r="AA6" s="56"/>
      <c r="AB6" s="88"/>
      <c r="AC6" s="80"/>
      <c r="AD6" s="80"/>
      <c r="AE6" s="80"/>
    </row>
    <row r="7" spans="1:132" ht="51">
      <c r="A7" s="81" t="s">
        <v>165</v>
      </c>
      <c r="B7" s="57" t="s">
        <v>166</v>
      </c>
      <c r="C7" s="58" t="s">
        <v>167</v>
      </c>
      <c r="D7" s="58" t="s">
        <v>167</v>
      </c>
      <c r="E7" s="58" t="s">
        <v>168</v>
      </c>
      <c r="F7" s="58" t="s">
        <v>169</v>
      </c>
      <c r="G7" s="58" t="s">
        <v>168</v>
      </c>
      <c r="H7" s="58" t="s">
        <v>167</v>
      </c>
      <c r="I7" s="59"/>
      <c r="J7" s="58" t="s">
        <v>170</v>
      </c>
      <c r="K7" s="58" t="s">
        <v>169</v>
      </c>
      <c r="L7" s="58" t="s">
        <v>168</v>
      </c>
      <c r="M7" s="58" t="s">
        <v>166</v>
      </c>
      <c r="N7" s="58" t="s">
        <v>166</v>
      </c>
      <c r="O7" s="58" t="s">
        <v>168</v>
      </c>
      <c r="P7" s="58" t="s">
        <v>167</v>
      </c>
      <c r="Q7" s="59"/>
      <c r="R7" s="58" t="s">
        <v>168</v>
      </c>
      <c r="S7" s="58" t="s">
        <v>169</v>
      </c>
      <c r="T7" s="58" t="s">
        <v>168</v>
      </c>
      <c r="U7" s="58" t="s">
        <v>167</v>
      </c>
      <c r="V7" s="58" t="s">
        <v>166</v>
      </c>
      <c r="W7" s="58" t="s">
        <v>167</v>
      </c>
      <c r="X7" s="58" t="s">
        <v>168</v>
      </c>
      <c r="Y7" s="59"/>
      <c r="Z7" s="60"/>
      <c r="AA7" s="56"/>
      <c r="AB7" s="88"/>
      <c r="AC7" s="80"/>
      <c r="AD7" s="80"/>
      <c r="AE7" s="80"/>
    </row>
    <row r="8" spans="1:132">
      <c r="A8" s="81" t="s">
        <v>171</v>
      </c>
      <c r="B8" s="57" t="s">
        <v>172</v>
      </c>
      <c r="C8" s="58" t="s">
        <v>172</v>
      </c>
      <c r="D8" s="58" t="s">
        <v>173</v>
      </c>
      <c r="E8" s="58" t="s">
        <v>174</v>
      </c>
      <c r="F8" s="58" t="s">
        <v>175</v>
      </c>
      <c r="G8" s="58" t="s">
        <v>172</v>
      </c>
      <c r="H8" s="58" t="s">
        <v>176</v>
      </c>
      <c r="I8" s="59"/>
      <c r="J8" s="58" t="s">
        <v>174</v>
      </c>
      <c r="K8" s="58" t="s">
        <v>177</v>
      </c>
      <c r="L8" s="58" t="s">
        <v>172</v>
      </c>
      <c r="M8" s="58" t="s">
        <v>176</v>
      </c>
      <c r="N8" s="58" t="s">
        <v>172</v>
      </c>
      <c r="O8" s="58" t="s">
        <v>175</v>
      </c>
      <c r="P8" s="58" t="s">
        <v>172</v>
      </c>
      <c r="Q8" s="59"/>
      <c r="R8" s="58" t="s">
        <v>178</v>
      </c>
      <c r="S8" s="58" t="s">
        <v>174</v>
      </c>
      <c r="T8" s="58" t="s">
        <v>176</v>
      </c>
      <c r="U8" s="58" t="s">
        <v>175</v>
      </c>
      <c r="V8" s="58" t="s">
        <v>172</v>
      </c>
      <c r="W8" s="58" t="s">
        <v>172</v>
      </c>
      <c r="X8" s="58" t="s">
        <v>172</v>
      </c>
      <c r="Y8" s="59"/>
      <c r="Z8" s="60"/>
      <c r="AA8" s="56"/>
      <c r="AB8" s="88"/>
      <c r="AC8" s="80"/>
      <c r="AD8" s="80"/>
      <c r="AE8" s="80"/>
    </row>
    <row r="9" spans="1:132">
      <c r="A9" s="81" t="s">
        <v>179</v>
      </c>
      <c r="B9" s="62"/>
      <c r="C9" s="61"/>
      <c r="D9" s="61"/>
      <c r="E9" s="61"/>
      <c r="F9" s="61"/>
      <c r="G9" s="61"/>
      <c r="H9" s="61"/>
      <c r="I9" s="63"/>
      <c r="J9" s="61"/>
      <c r="K9" s="61"/>
      <c r="L9" s="61"/>
      <c r="M9" s="61"/>
      <c r="N9" s="61"/>
      <c r="O9" s="61"/>
      <c r="P9" s="61"/>
      <c r="Q9" s="63"/>
      <c r="R9" s="61"/>
      <c r="S9" s="61"/>
      <c r="T9" s="61"/>
      <c r="U9" s="61"/>
      <c r="V9" s="61"/>
      <c r="W9" s="61"/>
      <c r="X9" s="61"/>
      <c r="Y9" s="63"/>
      <c r="Z9" s="64"/>
      <c r="AA9" s="56"/>
      <c r="AB9" s="88"/>
      <c r="AC9" s="80"/>
      <c r="AD9" s="80"/>
      <c r="AE9" s="80"/>
    </row>
    <row r="10" spans="1:132">
      <c r="A10" s="89" t="s">
        <v>180</v>
      </c>
      <c r="B10" s="90"/>
      <c r="C10" s="91"/>
      <c r="D10" s="91"/>
      <c r="E10" s="91"/>
      <c r="F10" s="91"/>
      <c r="G10" s="91"/>
      <c r="H10" s="91"/>
      <c r="I10" s="92"/>
      <c r="J10" s="91"/>
      <c r="K10" s="91"/>
      <c r="L10" s="91"/>
      <c r="M10" s="91"/>
      <c r="N10" s="91"/>
      <c r="O10" s="91"/>
      <c r="P10" s="91"/>
      <c r="Q10" s="92"/>
      <c r="R10" s="91"/>
      <c r="S10" s="91"/>
      <c r="T10" s="91"/>
      <c r="U10" s="91"/>
      <c r="V10" s="91"/>
      <c r="W10" s="91"/>
      <c r="X10" s="91"/>
      <c r="Y10" s="92"/>
      <c r="Z10" s="93"/>
      <c r="AA10" s="94"/>
      <c r="AB10" s="95"/>
      <c r="AC10" s="96"/>
      <c r="AD10" s="80"/>
      <c r="AE10" s="96"/>
    </row>
    <row r="11" spans="1:132">
      <c r="A11" s="97" t="s">
        <v>181</v>
      </c>
      <c r="B11" s="98"/>
      <c r="C11" s="99"/>
      <c r="D11" s="99"/>
      <c r="E11" s="99"/>
      <c r="F11" s="99"/>
      <c r="G11" s="99"/>
      <c r="H11" s="99"/>
      <c r="I11" s="100"/>
      <c r="J11" s="99"/>
      <c r="K11" s="99"/>
      <c r="L11" s="99"/>
      <c r="M11" s="99"/>
      <c r="N11" s="99"/>
      <c r="O11" s="99"/>
      <c r="P11" s="99"/>
      <c r="Q11" s="100"/>
      <c r="R11" s="99"/>
      <c r="S11" s="99"/>
      <c r="T11" s="99"/>
      <c r="U11" s="99"/>
      <c r="V11" s="99"/>
      <c r="W11" s="99"/>
      <c r="X11" s="99"/>
      <c r="Y11" s="100"/>
      <c r="Z11" s="101"/>
      <c r="AA11" s="102"/>
      <c r="AB11" s="103"/>
      <c r="AC11" s="104"/>
      <c r="AD11" s="80"/>
      <c r="AE11" s="104"/>
    </row>
    <row r="12" spans="1:132">
      <c r="A12" s="105" t="s">
        <v>182</v>
      </c>
      <c r="B12" s="106">
        <v>300</v>
      </c>
      <c r="C12" s="107">
        <v>50</v>
      </c>
      <c r="D12" s="107">
        <v>200</v>
      </c>
      <c r="E12" s="107">
        <v>60</v>
      </c>
      <c r="F12" s="107">
        <v>300</v>
      </c>
      <c r="G12" s="107">
        <v>300</v>
      </c>
      <c r="H12" s="107">
        <v>50</v>
      </c>
      <c r="I12" s="108"/>
      <c r="J12" s="107">
        <v>60</v>
      </c>
      <c r="K12" s="107">
        <v>300</v>
      </c>
      <c r="L12" s="107">
        <v>300</v>
      </c>
      <c r="M12" s="107">
        <v>60</v>
      </c>
      <c r="N12" s="107">
        <v>60</v>
      </c>
      <c r="O12" s="107">
        <v>300</v>
      </c>
      <c r="P12" s="107">
        <v>150</v>
      </c>
      <c r="Q12" s="108"/>
      <c r="R12" s="107">
        <v>150</v>
      </c>
      <c r="S12" s="107">
        <v>50</v>
      </c>
      <c r="T12" s="107">
        <v>60</v>
      </c>
      <c r="U12" s="107">
        <v>100</v>
      </c>
      <c r="V12" s="107">
        <v>300</v>
      </c>
      <c r="W12" s="107">
        <v>140</v>
      </c>
      <c r="X12" s="107">
        <v>60</v>
      </c>
      <c r="Y12" s="108"/>
      <c r="Z12" s="395"/>
      <c r="AA12" s="102">
        <f>B12+C12+D12+E12+F12+G12+H12+J12+K12+L12+M12+N12+O12+P12+R12+S12+T12+U12+V12+W12+X12</f>
        <v>3350</v>
      </c>
      <c r="AB12" s="103"/>
      <c r="AC12" s="104"/>
      <c r="AD12" s="80"/>
      <c r="AE12" s="104"/>
    </row>
    <row r="13" spans="1:132">
      <c r="A13" s="109" t="s">
        <v>183</v>
      </c>
      <c r="B13" s="110">
        <v>0.75</v>
      </c>
      <c r="C13" s="111">
        <v>0.7</v>
      </c>
      <c r="D13" s="111">
        <v>0.55000000000000004</v>
      </c>
      <c r="E13" s="111">
        <v>0.75</v>
      </c>
      <c r="F13" s="111">
        <v>0.65</v>
      </c>
      <c r="G13" s="111">
        <v>0.75</v>
      </c>
      <c r="H13" s="111">
        <v>0.7</v>
      </c>
      <c r="I13" s="112"/>
      <c r="J13" s="111">
        <v>0.65</v>
      </c>
      <c r="K13" s="111">
        <v>0.5</v>
      </c>
      <c r="L13" s="111">
        <v>0.75</v>
      </c>
      <c r="M13" s="111">
        <v>0.7</v>
      </c>
      <c r="N13" s="111">
        <v>0.7</v>
      </c>
      <c r="O13" s="111">
        <v>0.65</v>
      </c>
      <c r="P13" s="111">
        <v>0.75</v>
      </c>
      <c r="Q13" s="112"/>
      <c r="R13" s="111">
        <v>0.65</v>
      </c>
      <c r="S13" s="111">
        <v>0.7</v>
      </c>
      <c r="T13" s="111">
        <v>0.65</v>
      </c>
      <c r="U13" s="111">
        <v>0.65</v>
      </c>
      <c r="V13" s="111">
        <v>0.75</v>
      </c>
      <c r="W13" s="111">
        <v>0.75</v>
      </c>
      <c r="X13" s="111">
        <v>0.65</v>
      </c>
      <c r="Y13" s="112"/>
      <c r="Z13" s="119"/>
      <c r="AA13" s="102"/>
      <c r="AB13" s="113"/>
      <c r="AC13" s="114"/>
      <c r="AD13" s="80"/>
      <c r="AE13" s="114"/>
    </row>
    <row r="14" spans="1:132">
      <c r="A14" s="109" t="s">
        <v>184</v>
      </c>
      <c r="B14" s="115">
        <f t="shared" ref="B14:X14" si="0">+B12*B13</f>
        <v>225</v>
      </c>
      <c r="C14" s="116">
        <f t="shared" si="0"/>
        <v>35</v>
      </c>
      <c r="D14" s="116">
        <f t="shared" si="0"/>
        <v>110.00000000000001</v>
      </c>
      <c r="E14" s="116">
        <f t="shared" si="0"/>
        <v>45</v>
      </c>
      <c r="F14" s="116">
        <f t="shared" si="0"/>
        <v>195</v>
      </c>
      <c r="G14" s="116">
        <f t="shared" si="0"/>
        <v>225</v>
      </c>
      <c r="H14" s="116">
        <f t="shared" si="0"/>
        <v>35</v>
      </c>
      <c r="I14" s="117"/>
      <c r="J14" s="116">
        <f t="shared" si="0"/>
        <v>39</v>
      </c>
      <c r="K14" s="116">
        <f t="shared" si="0"/>
        <v>150</v>
      </c>
      <c r="L14" s="116">
        <f t="shared" si="0"/>
        <v>225</v>
      </c>
      <c r="M14" s="116">
        <f t="shared" si="0"/>
        <v>42</v>
      </c>
      <c r="N14" s="116">
        <f t="shared" si="0"/>
        <v>42</v>
      </c>
      <c r="O14" s="116">
        <f t="shared" si="0"/>
        <v>195</v>
      </c>
      <c r="P14" s="116">
        <f t="shared" si="0"/>
        <v>112.5</v>
      </c>
      <c r="Q14" s="117"/>
      <c r="R14" s="116">
        <f t="shared" si="0"/>
        <v>97.5</v>
      </c>
      <c r="S14" s="116">
        <f t="shared" si="0"/>
        <v>35</v>
      </c>
      <c r="T14" s="116">
        <f t="shared" si="0"/>
        <v>39</v>
      </c>
      <c r="U14" s="116">
        <f t="shared" si="0"/>
        <v>65</v>
      </c>
      <c r="V14" s="116">
        <f t="shared" si="0"/>
        <v>225</v>
      </c>
      <c r="W14" s="116">
        <f t="shared" si="0"/>
        <v>105</v>
      </c>
      <c r="X14" s="116">
        <f t="shared" si="0"/>
        <v>39</v>
      </c>
      <c r="Y14" s="117"/>
      <c r="Z14" s="118"/>
      <c r="AA14" s="102">
        <f t="shared" ref="AA14" si="1">B14+C14+D14+E14+F14+G14+H14+J14+K14+L14+M14+N14+O14+P14+R14+S14+T14+U14+V14+W14+X14</f>
        <v>2281</v>
      </c>
      <c r="AB14" s="113"/>
      <c r="AC14" s="114"/>
      <c r="AD14" s="80"/>
      <c r="AE14" s="114"/>
    </row>
    <row r="15" spans="1:132" s="120" customFormat="1">
      <c r="A15" s="297" t="s">
        <v>185</v>
      </c>
      <c r="B15" s="110">
        <v>0.75</v>
      </c>
      <c r="C15" s="111">
        <v>0.7</v>
      </c>
      <c r="D15" s="111">
        <v>0.55000000000000004</v>
      </c>
      <c r="E15" s="111">
        <v>0.75</v>
      </c>
      <c r="F15" s="111">
        <v>0.65</v>
      </c>
      <c r="G15" s="111">
        <v>0.75</v>
      </c>
      <c r="H15" s="111">
        <v>0.7</v>
      </c>
      <c r="I15" s="112"/>
      <c r="J15" s="111">
        <v>0.65</v>
      </c>
      <c r="K15" s="111">
        <v>0.5</v>
      </c>
      <c r="L15" s="111">
        <v>0.75</v>
      </c>
      <c r="M15" s="111">
        <v>0.7</v>
      </c>
      <c r="N15" s="111">
        <v>0.7</v>
      </c>
      <c r="O15" s="111">
        <v>0.65</v>
      </c>
      <c r="P15" s="111">
        <v>0.75</v>
      </c>
      <c r="Q15" s="112"/>
      <c r="R15" s="111">
        <v>0.65</v>
      </c>
      <c r="S15" s="111">
        <v>0.7</v>
      </c>
      <c r="T15" s="111">
        <v>0.65</v>
      </c>
      <c r="U15" s="111">
        <v>0.65</v>
      </c>
      <c r="V15" s="111">
        <v>0.75</v>
      </c>
      <c r="W15" s="111">
        <v>0.75</v>
      </c>
      <c r="X15" s="111">
        <v>0.65</v>
      </c>
      <c r="Y15" s="112"/>
      <c r="Z15" s="119"/>
      <c r="AA15" s="114"/>
      <c r="AB15" s="169"/>
      <c r="AC15" s="114"/>
      <c r="AD15" s="80"/>
      <c r="AE15" s="114"/>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row>
    <row r="16" spans="1:132" s="120" customFormat="1">
      <c r="A16" s="297" t="s">
        <v>186</v>
      </c>
      <c r="B16" s="121">
        <f>+B14*B15</f>
        <v>168.75</v>
      </c>
      <c r="C16" s="122">
        <f t="shared" ref="C16:X16" si="2">+C14*C15</f>
        <v>24.5</v>
      </c>
      <c r="D16" s="122">
        <f t="shared" si="2"/>
        <v>60.500000000000014</v>
      </c>
      <c r="E16" s="122">
        <f t="shared" si="2"/>
        <v>33.75</v>
      </c>
      <c r="F16" s="122">
        <f t="shared" si="2"/>
        <v>126.75</v>
      </c>
      <c r="G16" s="122">
        <f t="shared" si="2"/>
        <v>168.75</v>
      </c>
      <c r="H16" s="122">
        <f t="shared" si="2"/>
        <v>24.5</v>
      </c>
      <c r="I16" s="123"/>
      <c r="J16" s="122">
        <f t="shared" si="2"/>
        <v>25.35</v>
      </c>
      <c r="K16" s="122">
        <f t="shared" si="2"/>
        <v>75</v>
      </c>
      <c r="L16" s="122">
        <f t="shared" si="2"/>
        <v>168.75</v>
      </c>
      <c r="M16" s="122">
        <f t="shared" si="2"/>
        <v>29.4</v>
      </c>
      <c r="N16" s="122">
        <f t="shared" si="2"/>
        <v>29.4</v>
      </c>
      <c r="O16" s="122">
        <f t="shared" si="2"/>
        <v>126.75</v>
      </c>
      <c r="P16" s="122">
        <f t="shared" si="2"/>
        <v>84.375</v>
      </c>
      <c r="Q16" s="123"/>
      <c r="R16" s="122">
        <f t="shared" si="2"/>
        <v>63.375</v>
      </c>
      <c r="S16" s="122">
        <f t="shared" si="2"/>
        <v>24.5</v>
      </c>
      <c r="T16" s="122">
        <f t="shared" si="2"/>
        <v>25.35</v>
      </c>
      <c r="U16" s="122">
        <f t="shared" si="2"/>
        <v>42.25</v>
      </c>
      <c r="V16" s="122">
        <f t="shared" si="2"/>
        <v>168.75</v>
      </c>
      <c r="W16" s="122">
        <f t="shared" si="2"/>
        <v>78.75</v>
      </c>
      <c r="X16" s="122">
        <f t="shared" si="2"/>
        <v>25.35</v>
      </c>
      <c r="Y16" s="123"/>
      <c r="Z16" s="124"/>
      <c r="AA16" s="114"/>
      <c r="AB16" s="169"/>
      <c r="AC16" s="114"/>
      <c r="AD16" s="80"/>
      <c r="AE16" s="114"/>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row>
    <row r="17" spans="1:132" s="120" customFormat="1">
      <c r="A17" s="297" t="s">
        <v>187</v>
      </c>
      <c r="B17" s="125">
        <v>5</v>
      </c>
      <c r="C17" s="126">
        <v>5</v>
      </c>
      <c r="D17" s="126">
        <v>5</v>
      </c>
      <c r="E17" s="126">
        <v>5</v>
      </c>
      <c r="F17" s="126">
        <v>2.5</v>
      </c>
      <c r="G17" s="126">
        <v>7.5</v>
      </c>
      <c r="H17" s="126">
        <v>0</v>
      </c>
      <c r="I17" s="127"/>
      <c r="J17" s="126">
        <v>5</v>
      </c>
      <c r="K17" s="126">
        <v>5</v>
      </c>
      <c r="L17" s="126">
        <v>5</v>
      </c>
      <c r="M17" s="126">
        <v>0</v>
      </c>
      <c r="N17" s="126">
        <v>5</v>
      </c>
      <c r="O17" s="126">
        <v>2.5</v>
      </c>
      <c r="P17" s="126">
        <v>7.5</v>
      </c>
      <c r="Q17" s="127"/>
      <c r="R17" s="126">
        <v>5</v>
      </c>
      <c r="S17" s="126">
        <v>5</v>
      </c>
      <c r="T17" s="126">
        <v>0</v>
      </c>
      <c r="U17" s="126">
        <v>2.5</v>
      </c>
      <c r="V17" s="126">
        <v>7.5</v>
      </c>
      <c r="W17" s="126">
        <v>7.5</v>
      </c>
      <c r="X17" s="126">
        <v>5</v>
      </c>
      <c r="Y17" s="127"/>
      <c r="Z17" s="128"/>
      <c r="AA17" s="114"/>
      <c r="AB17" s="169"/>
      <c r="AC17" s="114"/>
      <c r="AD17" s="80"/>
      <c r="AE17" s="114"/>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08"/>
      <c r="DU17" s="208"/>
      <c r="DV17" s="208"/>
      <c r="DW17" s="208"/>
      <c r="DX17" s="208"/>
      <c r="DY17" s="208"/>
      <c r="DZ17" s="208"/>
      <c r="EA17" s="208"/>
      <c r="EB17" s="208"/>
    </row>
    <row r="18" spans="1:132" s="120" customFormat="1">
      <c r="A18" s="297" t="s">
        <v>188</v>
      </c>
      <c r="B18" s="129">
        <f>1-B15</f>
        <v>0.25</v>
      </c>
      <c r="C18" s="130">
        <f t="shared" ref="C18:X18" si="3">1-C15</f>
        <v>0.30000000000000004</v>
      </c>
      <c r="D18" s="130">
        <f t="shared" si="3"/>
        <v>0.44999999999999996</v>
      </c>
      <c r="E18" s="130">
        <f t="shared" si="3"/>
        <v>0.25</v>
      </c>
      <c r="F18" s="130">
        <f t="shared" si="3"/>
        <v>0.35</v>
      </c>
      <c r="G18" s="130">
        <f t="shared" si="3"/>
        <v>0.25</v>
      </c>
      <c r="H18" s="130">
        <f t="shared" si="3"/>
        <v>0.30000000000000004</v>
      </c>
      <c r="I18" s="131"/>
      <c r="J18" s="130">
        <f t="shared" si="3"/>
        <v>0.35</v>
      </c>
      <c r="K18" s="130">
        <f t="shared" si="3"/>
        <v>0.5</v>
      </c>
      <c r="L18" s="130">
        <f t="shared" si="3"/>
        <v>0.25</v>
      </c>
      <c r="M18" s="130">
        <f t="shared" si="3"/>
        <v>0.30000000000000004</v>
      </c>
      <c r="N18" s="130">
        <f t="shared" si="3"/>
        <v>0.30000000000000004</v>
      </c>
      <c r="O18" s="130">
        <f t="shared" si="3"/>
        <v>0.35</v>
      </c>
      <c r="P18" s="130">
        <f t="shared" si="3"/>
        <v>0.25</v>
      </c>
      <c r="Q18" s="131"/>
      <c r="R18" s="130">
        <f t="shared" si="3"/>
        <v>0.35</v>
      </c>
      <c r="S18" s="130">
        <f t="shared" si="3"/>
        <v>0.30000000000000004</v>
      </c>
      <c r="T18" s="130">
        <f t="shared" si="3"/>
        <v>0.35</v>
      </c>
      <c r="U18" s="130">
        <f t="shared" si="3"/>
        <v>0.35</v>
      </c>
      <c r="V18" s="130">
        <f t="shared" si="3"/>
        <v>0.25</v>
      </c>
      <c r="W18" s="130">
        <f t="shared" si="3"/>
        <v>0.25</v>
      </c>
      <c r="X18" s="130">
        <f t="shared" si="3"/>
        <v>0.35</v>
      </c>
      <c r="Y18" s="131"/>
      <c r="Z18" s="132"/>
      <c r="AA18" s="114"/>
      <c r="AB18" s="169"/>
      <c r="AC18" s="114"/>
      <c r="AD18" s="80"/>
      <c r="AE18" s="114"/>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8"/>
      <c r="DU18" s="208"/>
      <c r="DV18" s="208"/>
      <c r="DW18" s="208"/>
      <c r="DX18" s="208"/>
      <c r="DY18" s="208"/>
      <c r="DZ18" s="208"/>
      <c r="EA18" s="208"/>
      <c r="EB18" s="208"/>
    </row>
    <row r="19" spans="1:132" s="120" customFormat="1">
      <c r="A19" s="297" t="s">
        <v>189</v>
      </c>
      <c r="B19" s="133">
        <f>+B18*B14</f>
        <v>56.25</v>
      </c>
      <c r="C19" s="134">
        <f t="shared" ref="C19:X19" si="4">+C18*C14</f>
        <v>10.500000000000002</v>
      </c>
      <c r="D19" s="134">
        <f t="shared" si="4"/>
        <v>49.5</v>
      </c>
      <c r="E19" s="134">
        <f t="shared" si="4"/>
        <v>11.25</v>
      </c>
      <c r="F19" s="134">
        <f t="shared" si="4"/>
        <v>68.25</v>
      </c>
      <c r="G19" s="134">
        <f t="shared" si="4"/>
        <v>56.25</v>
      </c>
      <c r="H19" s="134">
        <f t="shared" si="4"/>
        <v>10.500000000000002</v>
      </c>
      <c r="I19" s="135"/>
      <c r="J19" s="134">
        <f t="shared" si="4"/>
        <v>13.649999999999999</v>
      </c>
      <c r="K19" s="134">
        <f t="shared" si="4"/>
        <v>75</v>
      </c>
      <c r="L19" s="134">
        <f t="shared" si="4"/>
        <v>56.25</v>
      </c>
      <c r="M19" s="134">
        <f t="shared" si="4"/>
        <v>12.600000000000001</v>
      </c>
      <c r="N19" s="134">
        <f t="shared" si="4"/>
        <v>12.600000000000001</v>
      </c>
      <c r="O19" s="134">
        <f t="shared" si="4"/>
        <v>68.25</v>
      </c>
      <c r="P19" s="134">
        <f t="shared" si="4"/>
        <v>28.125</v>
      </c>
      <c r="Q19" s="135"/>
      <c r="R19" s="134">
        <f t="shared" si="4"/>
        <v>34.125</v>
      </c>
      <c r="S19" s="134">
        <f t="shared" si="4"/>
        <v>10.500000000000002</v>
      </c>
      <c r="T19" s="134">
        <f t="shared" si="4"/>
        <v>13.649999999999999</v>
      </c>
      <c r="U19" s="134">
        <f t="shared" si="4"/>
        <v>22.75</v>
      </c>
      <c r="V19" s="134">
        <f t="shared" si="4"/>
        <v>56.25</v>
      </c>
      <c r="W19" s="134">
        <f t="shared" si="4"/>
        <v>26.25</v>
      </c>
      <c r="X19" s="134">
        <f t="shared" si="4"/>
        <v>13.649999999999999</v>
      </c>
      <c r="Y19" s="135"/>
      <c r="Z19" s="136"/>
      <c r="AA19" s="114"/>
      <c r="AB19" s="169"/>
      <c r="AC19" s="114"/>
      <c r="AD19" s="80"/>
      <c r="AE19" s="114"/>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8"/>
      <c r="DU19" s="208"/>
      <c r="DV19" s="208"/>
      <c r="DW19" s="208"/>
      <c r="DX19" s="208"/>
      <c r="DY19" s="208"/>
      <c r="DZ19" s="208"/>
      <c r="EA19" s="208"/>
      <c r="EB19" s="208"/>
    </row>
    <row r="20" spans="1:132" s="120" customFormat="1">
      <c r="A20" s="297" t="s">
        <v>190</v>
      </c>
      <c r="B20" s="125">
        <v>2.5</v>
      </c>
      <c r="C20" s="126">
        <v>2.5</v>
      </c>
      <c r="D20" s="126">
        <v>2.5</v>
      </c>
      <c r="E20" s="126">
        <v>2.5</v>
      </c>
      <c r="F20" s="126">
        <v>2.5</v>
      </c>
      <c r="G20" s="126">
        <v>7.5</v>
      </c>
      <c r="H20" s="126">
        <v>0</v>
      </c>
      <c r="I20" s="127"/>
      <c r="J20" s="126">
        <v>2.5</v>
      </c>
      <c r="K20" s="126">
        <v>2.5</v>
      </c>
      <c r="L20" s="126">
        <v>2.5</v>
      </c>
      <c r="M20" s="126">
        <v>0</v>
      </c>
      <c r="N20" s="126">
        <v>2.5</v>
      </c>
      <c r="O20" s="126">
        <v>2.5</v>
      </c>
      <c r="P20" s="126">
        <v>7.5</v>
      </c>
      <c r="Q20" s="127"/>
      <c r="R20" s="126">
        <v>2.5</v>
      </c>
      <c r="S20" s="126">
        <v>2.5</v>
      </c>
      <c r="T20" s="126">
        <v>0</v>
      </c>
      <c r="U20" s="126">
        <v>2.5</v>
      </c>
      <c r="V20" s="126">
        <v>7.5</v>
      </c>
      <c r="W20" s="126">
        <v>2.5</v>
      </c>
      <c r="X20" s="126">
        <v>2.5</v>
      </c>
      <c r="Y20" s="127"/>
      <c r="Z20" s="128"/>
      <c r="AA20" s="114"/>
      <c r="AB20" s="169"/>
      <c r="AC20" s="114"/>
      <c r="AD20" s="80"/>
      <c r="AE20" s="114"/>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08"/>
      <c r="DU20" s="208"/>
      <c r="DV20" s="208"/>
      <c r="DW20" s="208"/>
      <c r="DX20" s="208"/>
      <c r="DY20" s="208"/>
      <c r="DZ20" s="208"/>
      <c r="EA20" s="208"/>
      <c r="EB20" s="208"/>
    </row>
    <row r="21" spans="1:132" s="144" customFormat="1">
      <c r="A21" s="137" t="s">
        <v>191</v>
      </c>
      <c r="B21" s="138">
        <f>+(B19*B20)+(B16*B17)</f>
        <v>984.375</v>
      </c>
      <c r="C21" s="139">
        <f t="shared" ref="C21:X21" si="5">+(C19*C20)+(C16*C17)</f>
        <v>148.75</v>
      </c>
      <c r="D21" s="139">
        <f t="shared" si="5"/>
        <v>426.25000000000006</v>
      </c>
      <c r="E21" s="139">
        <f t="shared" si="5"/>
        <v>196.875</v>
      </c>
      <c r="F21" s="139">
        <f t="shared" si="5"/>
        <v>487.5</v>
      </c>
      <c r="G21" s="139">
        <f t="shared" si="5"/>
        <v>1687.5</v>
      </c>
      <c r="H21" s="139">
        <f t="shared" si="5"/>
        <v>0</v>
      </c>
      <c r="I21" s="140"/>
      <c r="J21" s="139">
        <f t="shared" si="5"/>
        <v>160.875</v>
      </c>
      <c r="K21" s="139">
        <f t="shared" si="5"/>
        <v>562.5</v>
      </c>
      <c r="L21" s="139">
        <f t="shared" si="5"/>
        <v>984.375</v>
      </c>
      <c r="M21" s="139">
        <f t="shared" si="5"/>
        <v>0</v>
      </c>
      <c r="N21" s="139">
        <f t="shared" si="5"/>
        <v>178.5</v>
      </c>
      <c r="O21" s="139">
        <f t="shared" si="5"/>
        <v>487.5</v>
      </c>
      <c r="P21" s="139">
        <f t="shared" si="5"/>
        <v>843.75</v>
      </c>
      <c r="Q21" s="140"/>
      <c r="R21" s="139">
        <f t="shared" si="5"/>
        <v>402.1875</v>
      </c>
      <c r="S21" s="139">
        <f t="shared" si="5"/>
        <v>148.75</v>
      </c>
      <c r="T21" s="139">
        <f t="shared" si="5"/>
        <v>0</v>
      </c>
      <c r="U21" s="139">
        <f t="shared" si="5"/>
        <v>162.5</v>
      </c>
      <c r="V21" s="139">
        <f t="shared" si="5"/>
        <v>1687.5</v>
      </c>
      <c r="W21" s="139">
        <f t="shared" si="5"/>
        <v>656.25</v>
      </c>
      <c r="X21" s="139">
        <f t="shared" si="5"/>
        <v>160.875</v>
      </c>
      <c r="Y21" s="140"/>
      <c r="Z21" s="141"/>
      <c r="AA21" s="142"/>
      <c r="AB21" s="142"/>
      <c r="AC21" s="142"/>
      <c r="AD21" s="80"/>
      <c r="AE21" s="142"/>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row>
    <row r="22" spans="1:132">
      <c r="A22" s="109" t="s">
        <v>192</v>
      </c>
      <c r="B22" s="145">
        <f t="shared" ref="B22:X22" si="6">+IF(B21=0,0,B21/(B16+B19))</f>
        <v>4.375</v>
      </c>
      <c r="C22" s="146">
        <f t="shared" si="6"/>
        <v>4.25</v>
      </c>
      <c r="D22" s="146">
        <f t="shared" si="6"/>
        <v>3.875</v>
      </c>
      <c r="E22" s="146">
        <f t="shared" si="6"/>
        <v>4.375</v>
      </c>
      <c r="F22" s="146">
        <f t="shared" si="6"/>
        <v>2.5</v>
      </c>
      <c r="G22" s="146">
        <f t="shared" si="6"/>
        <v>7.5</v>
      </c>
      <c r="H22" s="146">
        <f t="shared" si="6"/>
        <v>0</v>
      </c>
      <c r="I22" s="147"/>
      <c r="J22" s="146">
        <f t="shared" si="6"/>
        <v>4.125</v>
      </c>
      <c r="K22" s="146">
        <f t="shared" si="6"/>
        <v>3.75</v>
      </c>
      <c r="L22" s="146">
        <f t="shared" si="6"/>
        <v>4.375</v>
      </c>
      <c r="M22" s="146">
        <f t="shared" si="6"/>
        <v>0</v>
      </c>
      <c r="N22" s="146">
        <f t="shared" si="6"/>
        <v>4.25</v>
      </c>
      <c r="O22" s="146">
        <f t="shared" si="6"/>
        <v>2.5</v>
      </c>
      <c r="P22" s="146">
        <f t="shared" si="6"/>
        <v>7.5</v>
      </c>
      <c r="Q22" s="147"/>
      <c r="R22" s="146">
        <f t="shared" si="6"/>
        <v>4.125</v>
      </c>
      <c r="S22" s="146">
        <f t="shared" si="6"/>
        <v>4.25</v>
      </c>
      <c r="T22" s="146">
        <f t="shared" si="6"/>
        <v>0</v>
      </c>
      <c r="U22" s="146">
        <f t="shared" si="6"/>
        <v>2.5</v>
      </c>
      <c r="V22" s="146">
        <f t="shared" si="6"/>
        <v>7.5</v>
      </c>
      <c r="W22" s="146">
        <f t="shared" si="6"/>
        <v>6.25</v>
      </c>
      <c r="X22" s="146">
        <f t="shared" si="6"/>
        <v>4.125</v>
      </c>
      <c r="Y22" s="147"/>
      <c r="Z22" s="148"/>
      <c r="AA22" s="149"/>
      <c r="AB22" s="149"/>
      <c r="AC22" s="149"/>
      <c r="AD22" s="80"/>
      <c r="AE22" s="149"/>
    </row>
    <row r="23" spans="1:132">
      <c r="A23" s="170" t="s">
        <v>193</v>
      </c>
      <c r="B23" s="151">
        <v>1</v>
      </c>
      <c r="C23" s="152">
        <v>1</v>
      </c>
      <c r="D23" s="152">
        <v>1</v>
      </c>
      <c r="E23" s="152">
        <v>2</v>
      </c>
      <c r="F23" s="152">
        <v>3</v>
      </c>
      <c r="G23" s="152">
        <v>1</v>
      </c>
      <c r="H23" s="152">
        <v>1</v>
      </c>
      <c r="I23" s="153"/>
      <c r="J23" s="152">
        <v>4</v>
      </c>
      <c r="K23" s="152">
        <v>1</v>
      </c>
      <c r="L23" s="152">
        <v>1</v>
      </c>
      <c r="M23" s="152">
        <v>0</v>
      </c>
      <c r="N23" s="152">
        <v>1</v>
      </c>
      <c r="O23" s="152">
        <v>3</v>
      </c>
      <c r="P23" s="152">
        <v>1</v>
      </c>
      <c r="Q23" s="153"/>
      <c r="R23" s="152">
        <v>1</v>
      </c>
      <c r="S23" s="152">
        <v>2</v>
      </c>
      <c r="T23" s="152">
        <v>1</v>
      </c>
      <c r="U23" s="152">
        <v>3</v>
      </c>
      <c r="V23" s="152">
        <v>1</v>
      </c>
      <c r="W23" s="152">
        <v>1</v>
      </c>
      <c r="X23" s="152">
        <v>1</v>
      </c>
      <c r="Y23" s="153"/>
      <c r="Z23" s="154"/>
      <c r="AA23" s="149"/>
      <c r="AB23" s="149"/>
      <c r="AC23" s="149"/>
      <c r="AD23" s="80"/>
      <c r="AE23" s="149"/>
    </row>
    <row r="24" spans="1:132">
      <c r="A24" s="90" t="s">
        <v>194</v>
      </c>
      <c r="B24" s="157">
        <f>B23*(B19+B16)</f>
        <v>225</v>
      </c>
      <c r="C24" s="156">
        <f t="shared" ref="C24:X24" si="7">C23*(C19+C16)</f>
        <v>35</v>
      </c>
      <c r="D24" s="156">
        <f t="shared" si="7"/>
        <v>110.00000000000001</v>
      </c>
      <c r="E24" s="156">
        <f t="shared" si="7"/>
        <v>90</v>
      </c>
      <c r="F24" s="155">
        <f t="shared" si="7"/>
        <v>585</v>
      </c>
      <c r="G24" s="155">
        <f t="shared" si="7"/>
        <v>225</v>
      </c>
      <c r="H24" s="155">
        <f t="shared" si="7"/>
        <v>35</v>
      </c>
      <c r="I24" s="323"/>
      <c r="J24" s="155">
        <f t="shared" si="7"/>
        <v>156</v>
      </c>
      <c r="K24" s="155">
        <f t="shared" si="7"/>
        <v>150</v>
      </c>
      <c r="L24" s="155">
        <f t="shared" si="7"/>
        <v>225</v>
      </c>
      <c r="M24" s="155">
        <f t="shared" si="7"/>
        <v>0</v>
      </c>
      <c r="N24" s="155">
        <f t="shared" si="7"/>
        <v>42</v>
      </c>
      <c r="O24" s="155">
        <f t="shared" si="7"/>
        <v>585</v>
      </c>
      <c r="P24" s="155">
        <f t="shared" si="7"/>
        <v>112.5</v>
      </c>
      <c r="Q24" s="323"/>
      <c r="R24" s="155">
        <f t="shared" si="7"/>
        <v>97.5</v>
      </c>
      <c r="S24" s="155">
        <f t="shared" si="7"/>
        <v>70</v>
      </c>
      <c r="T24" s="155">
        <f t="shared" si="7"/>
        <v>39</v>
      </c>
      <c r="U24" s="156">
        <f t="shared" si="7"/>
        <v>195</v>
      </c>
      <c r="V24" s="156">
        <f t="shared" si="7"/>
        <v>225</v>
      </c>
      <c r="W24" s="156">
        <f t="shared" si="7"/>
        <v>105</v>
      </c>
      <c r="X24" s="156">
        <f t="shared" si="7"/>
        <v>39</v>
      </c>
      <c r="Y24" s="158"/>
      <c r="Z24" s="159"/>
      <c r="AA24" s="103"/>
      <c r="AB24" s="113">
        <f>SUM(B24:AA24)</f>
        <v>3346</v>
      </c>
      <c r="AC24" s="160"/>
      <c r="AD24" s="80"/>
      <c r="AE24" s="160"/>
    </row>
    <row r="25" spans="1:132">
      <c r="A25" s="90"/>
      <c r="B25" s="157"/>
      <c r="C25" s="156"/>
      <c r="D25" s="156"/>
      <c r="E25" s="156"/>
      <c r="F25" s="156"/>
      <c r="G25" s="156"/>
      <c r="H25" s="156"/>
      <c r="I25" s="158"/>
      <c r="J25" s="156"/>
      <c r="K25" s="156"/>
      <c r="L25" s="156"/>
      <c r="M25" s="156"/>
      <c r="N25" s="156"/>
      <c r="O25" s="156"/>
      <c r="P25" s="156"/>
      <c r="Q25" s="158"/>
      <c r="R25" s="156"/>
      <c r="S25" s="156"/>
      <c r="T25" s="156"/>
      <c r="U25" s="156"/>
      <c r="V25" s="156"/>
      <c r="W25" s="156"/>
      <c r="X25" s="156"/>
      <c r="Y25" s="158"/>
      <c r="Z25" s="159"/>
      <c r="AA25" s="103"/>
      <c r="AB25" s="103"/>
      <c r="AC25" s="160"/>
      <c r="AD25" s="80"/>
      <c r="AE25" s="160"/>
    </row>
    <row r="26" spans="1:132">
      <c r="A26" s="161" t="s">
        <v>195</v>
      </c>
      <c r="B26" s="162">
        <f t="shared" ref="B26:X26" si="8">B24*B22</f>
        <v>984.375</v>
      </c>
      <c r="C26" s="163">
        <f t="shared" si="8"/>
        <v>148.75</v>
      </c>
      <c r="D26" s="163">
        <f t="shared" si="8"/>
        <v>426.25000000000006</v>
      </c>
      <c r="E26" s="163">
        <f t="shared" si="8"/>
        <v>393.75</v>
      </c>
      <c r="F26" s="163">
        <f t="shared" si="8"/>
        <v>1462.5</v>
      </c>
      <c r="G26" s="163">
        <f t="shared" si="8"/>
        <v>1687.5</v>
      </c>
      <c r="H26" s="163">
        <f t="shared" si="8"/>
        <v>0</v>
      </c>
      <c r="I26" s="164"/>
      <c r="J26" s="163">
        <f t="shared" si="8"/>
        <v>643.5</v>
      </c>
      <c r="K26" s="163">
        <f t="shared" si="8"/>
        <v>562.5</v>
      </c>
      <c r="L26" s="163">
        <f t="shared" si="8"/>
        <v>984.375</v>
      </c>
      <c r="M26" s="163">
        <f t="shared" si="8"/>
        <v>0</v>
      </c>
      <c r="N26" s="163">
        <f t="shared" si="8"/>
        <v>178.5</v>
      </c>
      <c r="O26" s="163">
        <f t="shared" si="8"/>
        <v>1462.5</v>
      </c>
      <c r="P26" s="163">
        <f t="shared" si="8"/>
        <v>843.75</v>
      </c>
      <c r="Q26" s="164"/>
      <c r="R26" s="163">
        <f t="shared" si="8"/>
        <v>402.1875</v>
      </c>
      <c r="S26" s="163">
        <f t="shared" si="8"/>
        <v>297.5</v>
      </c>
      <c r="T26" s="163">
        <f t="shared" si="8"/>
        <v>0</v>
      </c>
      <c r="U26" s="163">
        <f t="shared" si="8"/>
        <v>487.5</v>
      </c>
      <c r="V26" s="163">
        <f t="shared" si="8"/>
        <v>1687.5</v>
      </c>
      <c r="W26" s="163">
        <f t="shared" si="8"/>
        <v>656.25</v>
      </c>
      <c r="X26" s="163">
        <f t="shared" si="8"/>
        <v>160.875</v>
      </c>
      <c r="Y26" s="164"/>
      <c r="Z26" s="165"/>
      <c r="AA26" s="166"/>
      <c r="AB26" s="167">
        <f>SUM(B26:AA26)</f>
        <v>13470.0625</v>
      </c>
      <c r="AC26" s="303"/>
      <c r="AD26" s="80"/>
      <c r="AE26" s="160"/>
    </row>
    <row r="27" spans="1:132">
      <c r="A27" s="161" t="s">
        <v>196</v>
      </c>
      <c r="B27" s="157">
        <f>B66+B67</f>
        <v>-31.5</v>
      </c>
      <c r="C27" s="156">
        <f t="shared" ref="C27:M27" si="9">C66+C67</f>
        <v>-4.76</v>
      </c>
      <c r="D27" s="156">
        <f t="shared" si="9"/>
        <v>-13.64</v>
      </c>
      <c r="E27" s="156">
        <f t="shared" si="9"/>
        <v>-12.6</v>
      </c>
      <c r="F27" s="156">
        <f t="shared" si="9"/>
        <v>-46.8</v>
      </c>
      <c r="G27" s="156">
        <f t="shared" si="9"/>
        <v>-54</v>
      </c>
      <c r="H27" s="156">
        <f t="shared" si="9"/>
        <v>0</v>
      </c>
      <c r="I27" s="158"/>
      <c r="J27" s="156">
        <f t="shared" si="9"/>
        <v>-20.591999999999999</v>
      </c>
      <c r="K27" s="156">
        <f t="shared" si="9"/>
        <v>-18</v>
      </c>
      <c r="L27" s="156">
        <f t="shared" si="9"/>
        <v>-31.5</v>
      </c>
      <c r="M27" s="156">
        <f t="shared" si="9"/>
        <v>0</v>
      </c>
      <c r="N27" s="156">
        <f>N66+N67</f>
        <v>-5.7119999999999997</v>
      </c>
      <c r="O27" s="156">
        <f t="shared" ref="O27:S27" si="10">O66+O67</f>
        <v>-46.8</v>
      </c>
      <c r="P27" s="156">
        <f t="shared" si="10"/>
        <v>-27</v>
      </c>
      <c r="Q27" s="158"/>
      <c r="R27" s="156">
        <f t="shared" si="10"/>
        <v>-12.870000000000001</v>
      </c>
      <c r="S27" s="156">
        <f t="shared" si="10"/>
        <v>-9.52</v>
      </c>
      <c r="T27" s="156">
        <f>T66+T67</f>
        <v>0</v>
      </c>
      <c r="U27" s="156">
        <f t="shared" ref="U27:W27" si="11">U66+U67</f>
        <v>-15.599999999999998</v>
      </c>
      <c r="V27" s="156">
        <f t="shared" si="11"/>
        <v>-54</v>
      </c>
      <c r="W27" s="156">
        <f t="shared" si="11"/>
        <v>-21</v>
      </c>
      <c r="X27" s="156">
        <f>X66+X67</f>
        <v>-5.1479999999999997</v>
      </c>
      <c r="Y27" s="158"/>
      <c r="Z27" s="159"/>
      <c r="AA27" s="103"/>
      <c r="AB27" s="113"/>
      <c r="AC27" s="303"/>
      <c r="AD27" s="80"/>
      <c r="AE27" s="160"/>
    </row>
    <row r="28" spans="1:132">
      <c r="A28" s="161" t="s">
        <v>197</v>
      </c>
      <c r="B28" s="157">
        <f t="shared" ref="B28:X28" si="12">-B26/6</f>
        <v>-164.0625</v>
      </c>
      <c r="C28" s="156">
        <f t="shared" si="12"/>
        <v>-24.791666666666668</v>
      </c>
      <c r="D28" s="156">
        <f t="shared" si="12"/>
        <v>-71.041666666666671</v>
      </c>
      <c r="E28" s="156">
        <f t="shared" si="12"/>
        <v>-65.625</v>
      </c>
      <c r="F28" s="156">
        <f t="shared" si="12"/>
        <v>-243.75</v>
      </c>
      <c r="G28" s="156">
        <f t="shared" si="12"/>
        <v>-281.25</v>
      </c>
      <c r="H28" s="156">
        <f t="shared" si="12"/>
        <v>0</v>
      </c>
      <c r="I28" s="158"/>
      <c r="J28" s="156">
        <f t="shared" si="12"/>
        <v>-107.25</v>
      </c>
      <c r="K28" s="156">
        <f t="shared" si="12"/>
        <v>-93.75</v>
      </c>
      <c r="L28" s="156">
        <f t="shared" si="12"/>
        <v>-164.0625</v>
      </c>
      <c r="M28" s="156">
        <f t="shared" si="12"/>
        <v>0</v>
      </c>
      <c r="N28" s="156">
        <f t="shared" si="12"/>
        <v>-29.75</v>
      </c>
      <c r="O28" s="156">
        <f t="shared" si="12"/>
        <v>-243.75</v>
      </c>
      <c r="P28" s="156">
        <f t="shared" si="12"/>
        <v>-140.625</v>
      </c>
      <c r="Q28" s="158"/>
      <c r="R28" s="156">
        <f t="shared" si="12"/>
        <v>-67.03125</v>
      </c>
      <c r="S28" s="156">
        <f t="shared" si="12"/>
        <v>-49.583333333333336</v>
      </c>
      <c r="T28" s="156">
        <f t="shared" si="12"/>
        <v>0</v>
      </c>
      <c r="U28" s="156">
        <f t="shared" si="12"/>
        <v>-81.25</v>
      </c>
      <c r="V28" s="156">
        <f t="shared" si="12"/>
        <v>-281.25</v>
      </c>
      <c r="W28" s="156">
        <f t="shared" si="12"/>
        <v>-109.375</v>
      </c>
      <c r="X28" s="156">
        <f t="shared" si="12"/>
        <v>-26.8125</v>
      </c>
      <c r="Y28" s="158"/>
      <c r="Z28" s="159"/>
      <c r="AA28" s="103"/>
      <c r="AB28" s="113">
        <f>SUM(B28:AA28)</f>
        <v>-2245.0104166666665</v>
      </c>
      <c r="AC28" s="303"/>
      <c r="AD28" s="80"/>
      <c r="AE28" s="160"/>
    </row>
    <row r="29" spans="1:132" s="176" customFormat="1">
      <c r="A29" s="312" t="s">
        <v>198</v>
      </c>
      <c r="B29" s="313">
        <f>+B26+B27+B28</f>
        <v>788.8125</v>
      </c>
      <c r="C29" s="314">
        <f t="shared" ref="C29:W29" si="13">+C26+C27+C28</f>
        <v>119.19833333333334</v>
      </c>
      <c r="D29" s="314">
        <f t="shared" si="13"/>
        <v>341.56833333333338</v>
      </c>
      <c r="E29" s="314">
        <f t="shared" si="13"/>
        <v>315.52499999999998</v>
      </c>
      <c r="F29" s="314">
        <f t="shared" si="13"/>
        <v>1171.95</v>
      </c>
      <c r="G29" s="314">
        <f t="shared" si="13"/>
        <v>1352.25</v>
      </c>
      <c r="H29" s="314">
        <f t="shared" si="13"/>
        <v>0</v>
      </c>
      <c r="I29" s="314">
        <f t="shared" si="13"/>
        <v>0</v>
      </c>
      <c r="J29" s="314">
        <f t="shared" si="13"/>
        <v>515.65800000000002</v>
      </c>
      <c r="K29" s="314">
        <f t="shared" si="13"/>
        <v>450.75</v>
      </c>
      <c r="L29" s="314">
        <f t="shared" si="13"/>
        <v>788.8125</v>
      </c>
      <c r="M29" s="314">
        <f t="shared" si="13"/>
        <v>0</v>
      </c>
      <c r="N29" s="314">
        <f>+N26+N27+N28</f>
        <v>143.03800000000001</v>
      </c>
      <c r="O29" s="314">
        <f t="shared" si="13"/>
        <v>1171.95</v>
      </c>
      <c r="P29" s="314">
        <f t="shared" si="13"/>
        <v>676.125</v>
      </c>
      <c r="Q29" s="315"/>
      <c r="R29" s="314">
        <f t="shared" si="13"/>
        <v>322.28625</v>
      </c>
      <c r="S29" s="314">
        <f t="shared" si="13"/>
        <v>238.39666666666668</v>
      </c>
      <c r="T29" s="314">
        <f>+T26+T27+T28</f>
        <v>0</v>
      </c>
      <c r="U29" s="314">
        <f t="shared" si="13"/>
        <v>390.65</v>
      </c>
      <c r="V29" s="314">
        <f t="shared" si="13"/>
        <v>1352.25</v>
      </c>
      <c r="W29" s="314">
        <f t="shared" si="13"/>
        <v>525.875</v>
      </c>
      <c r="X29" s="314">
        <f>+X26+X27+X28</f>
        <v>128.9145</v>
      </c>
      <c r="Y29" s="315">
        <f>+Y26+Y27+Y28</f>
        <v>0</v>
      </c>
      <c r="Z29" s="316"/>
      <c r="AA29" s="244"/>
      <c r="AB29" s="244">
        <f>SUM(AB26:AB28)</f>
        <v>11225.052083333334</v>
      </c>
      <c r="AC29" s="308">
        <f>Summary!O21</f>
        <v>7758.3333333333339</v>
      </c>
      <c r="AD29" s="309">
        <f>AB29-AC29</f>
        <v>3466.71875</v>
      </c>
      <c r="AE29" s="338"/>
    </row>
    <row r="30" spans="1:132">
      <c r="A30" s="168" t="s">
        <v>199</v>
      </c>
      <c r="B30" s="157"/>
      <c r="C30" s="156"/>
      <c r="D30" s="156"/>
      <c r="E30" s="156"/>
      <c r="F30" s="156"/>
      <c r="G30" s="156"/>
      <c r="H30" s="156"/>
      <c r="I30" s="158"/>
      <c r="J30" s="156"/>
      <c r="K30" s="156"/>
      <c r="L30" s="156"/>
      <c r="M30" s="156"/>
      <c r="N30" s="156"/>
      <c r="O30" s="156"/>
      <c r="P30" s="156"/>
      <c r="Q30" s="158"/>
      <c r="R30" s="156"/>
      <c r="S30" s="156"/>
      <c r="T30" s="156"/>
      <c r="U30" s="156"/>
      <c r="V30" s="156"/>
      <c r="W30" s="156"/>
      <c r="X30" s="156"/>
      <c r="Y30" s="158"/>
      <c r="Z30" s="159"/>
      <c r="AA30" s="103"/>
      <c r="AB30" s="113"/>
      <c r="AC30" s="302"/>
      <c r="AD30" s="307"/>
      <c r="AE30" s="160"/>
    </row>
    <row r="31" spans="1:132" s="176" customFormat="1">
      <c r="A31" s="312" t="s">
        <v>200</v>
      </c>
      <c r="B31" s="312">
        <v>2250</v>
      </c>
      <c r="C31" s="319">
        <v>600</v>
      </c>
      <c r="D31" s="319">
        <v>1000</v>
      </c>
      <c r="E31" s="319">
        <v>1000</v>
      </c>
      <c r="F31" s="319">
        <v>0</v>
      </c>
      <c r="G31" s="319">
        <v>2250</v>
      </c>
      <c r="H31" s="319">
        <v>100</v>
      </c>
      <c r="I31" s="320"/>
      <c r="J31" s="319">
        <v>1800</v>
      </c>
      <c r="K31" s="319">
        <v>1000</v>
      </c>
      <c r="L31" s="319">
        <v>2250</v>
      </c>
      <c r="M31" s="319">
        <v>100</v>
      </c>
      <c r="N31" s="319">
        <v>600</v>
      </c>
      <c r="O31" s="319">
        <v>0</v>
      </c>
      <c r="P31" s="319">
        <v>1400</v>
      </c>
      <c r="Q31" s="320"/>
      <c r="R31" s="319">
        <v>1000</v>
      </c>
      <c r="S31" s="319">
        <v>1000</v>
      </c>
      <c r="T31" s="319">
        <v>100</v>
      </c>
      <c r="U31" s="319">
        <v>0</v>
      </c>
      <c r="V31" s="319">
        <v>2250</v>
      </c>
      <c r="W31" s="319">
        <v>3000</v>
      </c>
      <c r="X31" s="319">
        <v>600</v>
      </c>
      <c r="Y31" s="320"/>
      <c r="Z31" s="321"/>
      <c r="AA31" s="245"/>
      <c r="AB31" s="245">
        <f>SUM(B31:AA31)</f>
        <v>22300</v>
      </c>
      <c r="AC31" s="310">
        <f>Summary!B21</f>
        <v>22050</v>
      </c>
      <c r="AD31" s="317">
        <f>SUM(AC31-AB31)</f>
        <v>-250</v>
      </c>
      <c r="AE31" s="339"/>
    </row>
    <row r="32" spans="1:132">
      <c r="A32" s="170" t="s">
        <v>201</v>
      </c>
      <c r="B32" s="157">
        <f t="shared" ref="B32:X32" si="14">+B69</f>
        <v>0</v>
      </c>
      <c r="C32" s="156">
        <f t="shared" si="14"/>
        <v>0</v>
      </c>
      <c r="D32" s="156">
        <f t="shared" si="14"/>
        <v>0</v>
      </c>
      <c r="E32" s="156">
        <f t="shared" si="14"/>
        <v>0</v>
      </c>
      <c r="F32" s="156">
        <f t="shared" si="14"/>
        <v>0</v>
      </c>
      <c r="G32" s="156">
        <f t="shared" si="14"/>
        <v>0</v>
      </c>
      <c r="H32" s="156">
        <f t="shared" si="14"/>
        <v>0</v>
      </c>
      <c r="I32" s="158"/>
      <c r="J32" s="156">
        <f t="shared" si="14"/>
        <v>0</v>
      </c>
      <c r="K32" s="156">
        <f t="shared" si="14"/>
        <v>0</v>
      </c>
      <c r="L32" s="156">
        <f t="shared" si="14"/>
        <v>0</v>
      </c>
      <c r="M32" s="156">
        <f t="shared" si="14"/>
        <v>0</v>
      </c>
      <c r="N32" s="156">
        <f t="shared" si="14"/>
        <v>0</v>
      </c>
      <c r="O32" s="156">
        <f t="shared" si="14"/>
        <v>0</v>
      </c>
      <c r="P32" s="156">
        <f t="shared" si="14"/>
        <v>0</v>
      </c>
      <c r="Q32" s="158"/>
      <c r="R32" s="156">
        <f t="shared" si="14"/>
        <v>0</v>
      </c>
      <c r="S32" s="156">
        <f t="shared" si="14"/>
        <v>0</v>
      </c>
      <c r="T32" s="156">
        <f t="shared" si="14"/>
        <v>0</v>
      </c>
      <c r="U32" s="156">
        <f t="shared" si="14"/>
        <v>0</v>
      </c>
      <c r="V32" s="156">
        <f t="shared" si="14"/>
        <v>0</v>
      </c>
      <c r="W32" s="156">
        <f t="shared" si="14"/>
        <v>0</v>
      </c>
      <c r="X32" s="156">
        <f t="shared" si="14"/>
        <v>0</v>
      </c>
      <c r="Y32" s="158"/>
      <c r="Z32" s="159"/>
      <c r="AA32" s="103"/>
      <c r="AB32" s="113">
        <f>SUM(B32:AA32)</f>
        <v>0</v>
      </c>
      <c r="AC32" s="303"/>
      <c r="AD32" s="306">
        <f>SUM(AC32-AB32)</f>
        <v>0</v>
      </c>
      <c r="AE32" s="160"/>
    </row>
    <row r="33" spans="1:33">
      <c r="A33" s="170"/>
      <c r="B33" s="157"/>
      <c r="C33" s="156"/>
      <c r="D33" s="156"/>
      <c r="E33" s="156"/>
      <c r="F33" s="156"/>
      <c r="G33" s="156"/>
      <c r="H33" s="156"/>
      <c r="I33" s="158"/>
      <c r="J33" s="156"/>
      <c r="K33" s="156"/>
      <c r="L33" s="156"/>
      <c r="M33" s="156"/>
      <c r="N33" s="156"/>
      <c r="O33" s="156"/>
      <c r="P33" s="156"/>
      <c r="Q33" s="158"/>
      <c r="R33" s="156"/>
      <c r="S33" s="156"/>
      <c r="T33" s="156"/>
      <c r="U33" s="156"/>
      <c r="V33" s="156"/>
      <c r="W33" s="156"/>
      <c r="X33" s="156"/>
      <c r="Y33" s="158"/>
      <c r="Z33" s="159"/>
      <c r="AA33" s="103"/>
      <c r="AB33" s="113"/>
      <c r="AC33" s="303"/>
      <c r="AD33" s="306"/>
      <c r="AE33" s="160"/>
    </row>
    <row r="34" spans="1:33">
      <c r="A34" s="224" t="str">
        <f>'Area Festivals'!A99</f>
        <v>Venue Hire (per venue)</v>
      </c>
      <c r="B34" s="170">
        <v>0</v>
      </c>
      <c r="C34" s="155">
        <v>0</v>
      </c>
      <c r="D34" s="155">
        <v>0</v>
      </c>
      <c r="E34" s="155">
        <v>0</v>
      </c>
      <c r="F34" s="155">
        <v>0</v>
      </c>
      <c r="G34" s="155">
        <v>0</v>
      </c>
      <c r="H34" s="155">
        <v>0</v>
      </c>
      <c r="I34" s="323">
        <v>0</v>
      </c>
      <c r="J34" s="155">
        <v>0</v>
      </c>
      <c r="K34" s="155">
        <v>0</v>
      </c>
      <c r="L34" s="155">
        <v>0</v>
      </c>
      <c r="M34" s="155">
        <v>0</v>
      </c>
      <c r="N34" s="155">
        <v>0</v>
      </c>
      <c r="O34" s="155">
        <v>0</v>
      </c>
      <c r="P34" s="155">
        <v>0</v>
      </c>
      <c r="Q34" s="323">
        <v>0</v>
      </c>
      <c r="R34" s="155">
        <v>0</v>
      </c>
      <c r="S34" s="155">
        <v>0</v>
      </c>
      <c r="T34" s="155">
        <v>0</v>
      </c>
      <c r="U34" s="155">
        <v>0</v>
      </c>
      <c r="V34" s="155">
        <v>0</v>
      </c>
      <c r="W34" s="155">
        <v>0</v>
      </c>
      <c r="X34" s="155">
        <v>0</v>
      </c>
      <c r="Y34" s="323">
        <v>0</v>
      </c>
      <c r="Z34" s="324"/>
      <c r="AA34" s="103"/>
      <c r="AB34" s="113">
        <f t="shared" ref="AB34:AB39" si="15">SUM(B34:AA34)</f>
        <v>0</v>
      </c>
      <c r="AC34" s="303">
        <f>'Area Festivals'!H99</f>
        <v>0</v>
      </c>
      <c r="AD34" s="306">
        <f t="shared" ref="AD34:AD39" si="16">SUM(AC34-AB34)</f>
        <v>0</v>
      </c>
      <c r="AE34" s="160"/>
    </row>
    <row r="35" spans="1:33">
      <c r="A35" s="335" t="str">
        <f>'Area Festivals'!A100</f>
        <v xml:space="preserve">Venue Technical Hires  </v>
      </c>
      <c r="B35" s="327">
        <v>0</v>
      </c>
      <c r="C35" s="155">
        <v>0</v>
      </c>
      <c r="D35" s="327">
        <v>0</v>
      </c>
      <c r="E35" s="327">
        <v>0</v>
      </c>
      <c r="F35" s="327">
        <v>0</v>
      </c>
      <c r="G35" s="327">
        <v>0</v>
      </c>
      <c r="H35" s="327">
        <v>0</v>
      </c>
      <c r="I35" s="390">
        <v>0</v>
      </c>
      <c r="J35" s="327">
        <v>0</v>
      </c>
      <c r="K35" s="327">
        <v>0</v>
      </c>
      <c r="L35" s="327">
        <v>0</v>
      </c>
      <c r="M35" s="327">
        <v>0</v>
      </c>
      <c r="N35" s="155">
        <v>0</v>
      </c>
      <c r="O35" s="155">
        <v>0</v>
      </c>
      <c r="P35" s="155">
        <v>0</v>
      </c>
      <c r="Q35" s="323">
        <v>0</v>
      </c>
      <c r="R35" s="155">
        <v>0</v>
      </c>
      <c r="S35" s="155">
        <v>0</v>
      </c>
      <c r="T35" s="155">
        <v>0</v>
      </c>
      <c r="U35" s="155">
        <v>0</v>
      </c>
      <c r="V35" s="155">
        <v>0</v>
      </c>
      <c r="W35" s="155">
        <v>0</v>
      </c>
      <c r="X35" s="155">
        <v>0</v>
      </c>
      <c r="Y35" s="323">
        <v>0</v>
      </c>
      <c r="Z35" s="394">
        <v>4200</v>
      </c>
      <c r="AA35" s="103"/>
      <c r="AB35" s="113">
        <f t="shared" si="15"/>
        <v>4200</v>
      </c>
      <c r="AC35" s="303">
        <f>'Area Festivals'!H100</f>
        <v>4200</v>
      </c>
      <c r="AD35" s="306">
        <f t="shared" si="16"/>
        <v>0</v>
      </c>
      <c r="AE35" s="160"/>
    </row>
    <row r="36" spans="1:33">
      <c r="A36" s="335" t="str">
        <f>'Area Festivals'!A101</f>
        <v>Dressing Room / Green Room Set Up / Artist Liaison</v>
      </c>
      <c r="B36" s="155">
        <v>300</v>
      </c>
      <c r="C36" s="155">
        <v>0</v>
      </c>
      <c r="D36" s="155">
        <v>0</v>
      </c>
      <c r="E36" s="155">
        <v>0</v>
      </c>
      <c r="F36" s="155">
        <v>0</v>
      </c>
      <c r="G36" s="155">
        <v>250</v>
      </c>
      <c r="H36" s="155">
        <v>0</v>
      </c>
      <c r="I36" s="323">
        <v>0</v>
      </c>
      <c r="J36" s="155">
        <v>0</v>
      </c>
      <c r="K36" s="155">
        <v>0</v>
      </c>
      <c r="L36" s="155">
        <v>0</v>
      </c>
      <c r="M36" s="155">
        <v>0</v>
      </c>
      <c r="N36" s="155">
        <v>0</v>
      </c>
      <c r="O36" s="155">
        <v>0</v>
      </c>
      <c r="P36" s="155">
        <v>0</v>
      </c>
      <c r="Q36" s="323">
        <v>0</v>
      </c>
      <c r="R36" s="155">
        <v>0</v>
      </c>
      <c r="S36" s="155">
        <v>0</v>
      </c>
      <c r="T36" s="155">
        <v>0</v>
      </c>
      <c r="U36" s="155">
        <v>0</v>
      </c>
      <c r="V36" s="155">
        <v>0</v>
      </c>
      <c r="W36" s="155">
        <v>0</v>
      </c>
      <c r="X36" s="155">
        <v>0</v>
      </c>
      <c r="Y36" s="323">
        <v>0</v>
      </c>
      <c r="Z36" s="324"/>
      <c r="AA36" s="103"/>
      <c r="AB36" s="113">
        <f t="shared" si="15"/>
        <v>550</v>
      </c>
      <c r="AC36" s="303">
        <f>'Area Festivals'!H101</f>
        <v>420</v>
      </c>
      <c r="AD36" s="306">
        <f t="shared" si="16"/>
        <v>-130</v>
      </c>
      <c r="AE36" s="160"/>
    </row>
    <row r="37" spans="1:33">
      <c r="A37" s="336" t="str">
        <f>'Area Festivals'!A102</f>
        <v>Transport</v>
      </c>
      <c r="B37" s="155">
        <v>0</v>
      </c>
      <c r="C37" s="155">
        <v>0</v>
      </c>
      <c r="D37" s="155">
        <v>0</v>
      </c>
      <c r="E37" s="155">
        <v>0</v>
      </c>
      <c r="F37" s="155">
        <v>0</v>
      </c>
      <c r="G37" s="155">
        <v>0</v>
      </c>
      <c r="H37" s="155">
        <v>0</v>
      </c>
      <c r="I37" s="323">
        <v>0</v>
      </c>
      <c r="J37" s="155">
        <v>0</v>
      </c>
      <c r="K37" s="155">
        <v>0</v>
      </c>
      <c r="L37" s="155">
        <v>0</v>
      </c>
      <c r="M37" s="155">
        <v>0</v>
      </c>
      <c r="N37" s="155">
        <v>0</v>
      </c>
      <c r="O37" s="155">
        <v>0</v>
      </c>
      <c r="P37" s="155">
        <v>0</v>
      </c>
      <c r="Q37" s="323">
        <v>0</v>
      </c>
      <c r="R37" s="155">
        <v>0</v>
      </c>
      <c r="S37" s="155">
        <v>0</v>
      </c>
      <c r="T37" s="155">
        <v>0</v>
      </c>
      <c r="U37" s="155">
        <v>0</v>
      </c>
      <c r="V37" s="155">
        <v>0</v>
      </c>
      <c r="W37" s="155">
        <v>0</v>
      </c>
      <c r="X37" s="155">
        <v>0</v>
      </c>
      <c r="Y37" s="323">
        <v>0</v>
      </c>
      <c r="Z37" s="394">
        <v>1146.3499999999999</v>
      </c>
      <c r="AA37" s="103"/>
      <c r="AB37" s="113">
        <f>SUM(B37:AA37)</f>
        <v>1146.3499999999999</v>
      </c>
      <c r="AC37" s="303">
        <f>'Area Festivals'!H102</f>
        <v>1400</v>
      </c>
      <c r="AD37" s="306">
        <f t="shared" si="16"/>
        <v>253.65000000000009</v>
      </c>
      <c r="AE37" s="160"/>
    </row>
    <row r="38" spans="1:33">
      <c r="A38" s="336" t="str">
        <f>'Area Festivals'!A103</f>
        <v>Duty of Care/First Aid</v>
      </c>
      <c r="B38" s="155">
        <v>0</v>
      </c>
      <c r="C38" s="155">
        <v>0</v>
      </c>
      <c r="D38" s="155">
        <v>0</v>
      </c>
      <c r="E38" s="155">
        <v>0</v>
      </c>
      <c r="F38" s="155">
        <v>0</v>
      </c>
      <c r="G38" s="155">
        <v>0</v>
      </c>
      <c r="H38" s="155">
        <v>0</v>
      </c>
      <c r="I38" s="323">
        <v>0</v>
      </c>
      <c r="J38" s="155">
        <v>0</v>
      </c>
      <c r="K38" s="155">
        <v>0</v>
      </c>
      <c r="L38" s="155">
        <v>0</v>
      </c>
      <c r="M38" s="155">
        <v>0</v>
      </c>
      <c r="N38" s="155">
        <v>0</v>
      </c>
      <c r="O38" s="155">
        <v>0</v>
      </c>
      <c r="P38" s="155">
        <v>0</v>
      </c>
      <c r="Q38" s="323">
        <v>0</v>
      </c>
      <c r="R38" s="155">
        <v>0</v>
      </c>
      <c r="S38" s="155">
        <v>0</v>
      </c>
      <c r="T38" s="155">
        <v>0</v>
      </c>
      <c r="U38" s="155">
        <v>0</v>
      </c>
      <c r="V38" s="155">
        <v>0</v>
      </c>
      <c r="W38" s="155">
        <v>0</v>
      </c>
      <c r="X38" s="155">
        <v>0</v>
      </c>
      <c r="Y38" s="323">
        <v>0</v>
      </c>
      <c r="Z38" s="324">
        <v>1469</v>
      </c>
      <c r="AA38" s="103"/>
      <c r="AB38" s="113">
        <f t="shared" si="15"/>
        <v>1469</v>
      </c>
      <c r="AC38" s="303">
        <f>'Area Festivals'!H103</f>
        <v>1440</v>
      </c>
      <c r="AD38" s="306">
        <f t="shared" si="16"/>
        <v>-29</v>
      </c>
      <c r="AE38" s="160"/>
    </row>
    <row r="39" spans="1:33">
      <c r="A39" s="336" t="str">
        <f>'Area Festivals'!A104</f>
        <v>Security</v>
      </c>
      <c r="B39" s="155">
        <v>0</v>
      </c>
      <c r="C39" s="155">
        <v>0</v>
      </c>
      <c r="D39" s="155">
        <v>0</v>
      </c>
      <c r="E39" s="155">
        <v>0</v>
      </c>
      <c r="F39" s="155">
        <v>0</v>
      </c>
      <c r="G39" s="155">
        <v>0</v>
      </c>
      <c r="H39" s="155">
        <v>0</v>
      </c>
      <c r="I39" s="323">
        <v>10</v>
      </c>
      <c r="J39" s="155">
        <v>0</v>
      </c>
      <c r="K39" s="155">
        <v>0</v>
      </c>
      <c r="L39" s="155">
        <v>0</v>
      </c>
      <c r="M39" s="155">
        <v>0</v>
      </c>
      <c r="N39" s="155">
        <v>0</v>
      </c>
      <c r="O39" s="155">
        <v>0</v>
      </c>
      <c r="P39" s="155">
        <v>0</v>
      </c>
      <c r="Q39" s="323">
        <v>368</v>
      </c>
      <c r="R39" s="155">
        <v>0</v>
      </c>
      <c r="S39" s="155">
        <v>0</v>
      </c>
      <c r="T39" s="155">
        <v>0</v>
      </c>
      <c r="U39" s="155">
        <v>0</v>
      </c>
      <c r="V39" s="155">
        <v>0</v>
      </c>
      <c r="W39" s="155">
        <v>0</v>
      </c>
      <c r="X39" s="155">
        <v>0</v>
      </c>
      <c r="Y39" s="323">
        <v>0</v>
      </c>
      <c r="Z39" s="324">
        <v>2225</v>
      </c>
      <c r="AA39" s="103"/>
      <c r="AB39" s="113">
        <f t="shared" si="15"/>
        <v>2603</v>
      </c>
      <c r="AC39" s="303">
        <f>'Area Festivals'!H104+'Area Festivals'!H127</f>
        <v>1400</v>
      </c>
      <c r="AD39" s="306">
        <f t="shared" si="16"/>
        <v>-1203</v>
      </c>
      <c r="AE39" s="160"/>
    </row>
    <row r="40" spans="1:33">
      <c r="A40" s="336"/>
      <c r="B40" s="155"/>
      <c r="C40" s="155"/>
      <c r="D40" s="155"/>
      <c r="E40" s="155"/>
      <c r="F40" s="155"/>
      <c r="G40" s="155"/>
      <c r="H40" s="155"/>
      <c r="I40" s="323"/>
      <c r="J40" s="155"/>
      <c r="K40" s="155"/>
      <c r="L40" s="155"/>
      <c r="M40" s="155"/>
      <c r="N40" s="155"/>
      <c r="O40" s="155"/>
      <c r="P40" s="155"/>
      <c r="Q40" s="323"/>
      <c r="R40" s="155"/>
      <c r="S40" s="155"/>
      <c r="T40" s="155"/>
      <c r="U40" s="155"/>
      <c r="V40" s="155"/>
      <c r="W40" s="155"/>
      <c r="X40" s="155"/>
      <c r="Y40" s="323"/>
      <c r="Z40" s="324"/>
      <c r="AA40" s="103"/>
      <c r="AB40" s="113"/>
      <c r="AC40" s="303"/>
      <c r="AD40" s="306"/>
      <c r="AE40" s="160"/>
    </row>
    <row r="41" spans="1:33">
      <c r="A41" s="170" t="s">
        <v>202</v>
      </c>
      <c r="B41" s="170">
        <v>0</v>
      </c>
      <c r="C41" s="155">
        <v>0</v>
      </c>
      <c r="D41" s="155">
        <v>0</v>
      </c>
      <c r="E41" s="155">
        <v>0</v>
      </c>
      <c r="F41" s="155">
        <v>0</v>
      </c>
      <c r="G41" s="155">
        <v>0</v>
      </c>
      <c r="H41" s="155">
        <v>0</v>
      </c>
      <c r="I41" s="323">
        <v>0</v>
      </c>
      <c r="J41" s="155">
        <v>0</v>
      </c>
      <c r="K41" s="155">
        <v>0</v>
      </c>
      <c r="L41" s="155">
        <v>0</v>
      </c>
      <c r="M41" s="155">
        <v>0</v>
      </c>
      <c r="N41" s="155">
        <v>0</v>
      </c>
      <c r="O41" s="155">
        <v>0</v>
      </c>
      <c r="P41" s="155">
        <v>0</v>
      </c>
      <c r="Q41" s="323">
        <v>0</v>
      </c>
      <c r="R41" s="155">
        <v>0</v>
      </c>
      <c r="S41" s="155">
        <v>0</v>
      </c>
      <c r="T41" s="155">
        <v>0</v>
      </c>
      <c r="U41" s="155">
        <v>0</v>
      </c>
      <c r="V41" s="155">
        <v>0</v>
      </c>
      <c r="W41" s="155">
        <v>0</v>
      </c>
      <c r="X41" s="155">
        <v>0</v>
      </c>
      <c r="Y41" s="323">
        <v>0</v>
      </c>
      <c r="Z41" s="324">
        <v>2880</v>
      </c>
      <c r="AA41" s="103"/>
      <c r="AB41" s="113">
        <f>SUM(B41:AA41)</f>
        <v>2880</v>
      </c>
      <c r="AC41" s="303">
        <f>'Area Festivals'!H108+'Area Festivals'!H110</f>
        <v>2880</v>
      </c>
      <c r="AD41" s="306">
        <f>SUM(AC41-AB41)</f>
        <v>0</v>
      </c>
      <c r="AE41" s="160"/>
    </row>
    <row r="42" spans="1:33">
      <c r="A42" s="170" t="str">
        <f>'Area Festivals'!A109</f>
        <v>Crew (x2)</v>
      </c>
      <c r="B42" s="170">
        <v>0</v>
      </c>
      <c r="C42" s="155">
        <v>0</v>
      </c>
      <c r="D42" s="155">
        <v>0</v>
      </c>
      <c r="E42" s="155">
        <v>0</v>
      </c>
      <c r="F42" s="155">
        <v>0</v>
      </c>
      <c r="G42" s="155">
        <v>0</v>
      </c>
      <c r="H42" s="155">
        <v>0</v>
      </c>
      <c r="I42" s="323">
        <v>0</v>
      </c>
      <c r="J42" s="155">
        <v>0</v>
      </c>
      <c r="K42" s="155">
        <v>0</v>
      </c>
      <c r="L42" s="155">
        <v>0</v>
      </c>
      <c r="M42" s="155">
        <v>0</v>
      </c>
      <c r="N42" s="155">
        <v>0</v>
      </c>
      <c r="O42" s="155">
        <v>0</v>
      </c>
      <c r="P42" s="155">
        <v>0</v>
      </c>
      <c r="Q42" s="323">
        <v>0</v>
      </c>
      <c r="R42" s="155">
        <v>0</v>
      </c>
      <c r="S42" s="155">
        <v>0</v>
      </c>
      <c r="T42" s="155">
        <v>0</v>
      </c>
      <c r="U42" s="155">
        <v>0</v>
      </c>
      <c r="V42" s="155">
        <v>0</v>
      </c>
      <c r="W42" s="155">
        <v>0</v>
      </c>
      <c r="X42" s="155">
        <v>0</v>
      </c>
      <c r="Y42" s="323">
        <v>0</v>
      </c>
      <c r="Z42" s="324">
        <v>2880</v>
      </c>
      <c r="AA42" s="103"/>
      <c r="AB42" s="113">
        <f>SUM(B42:AA42)</f>
        <v>2880</v>
      </c>
      <c r="AC42" s="303">
        <f>'Area Festivals'!H109</f>
        <v>2880</v>
      </c>
      <c r="AD42" s="306">
        <f>SUM(AC42-AB42)</f>
        <v>0</v>
      </c>
      <c r="AE42" s="160"/>
    </row>
    <row r="43" spans="1:33">
      <c r="A43" s="170" t="s">
        <v>203</v>
      </c>
      <c r="B43" s="170">
        <v>0</v>
      </c>
      <c r="C43" s="155">
        <v>0</v>
      </c>
      <c r="D43" s="155">
        <v>0</v>
      </c>
      <c r="E43" s="155">
        <v>0</v>
      </c>
      <c r="F43" s="155">
        <v>0</v>
      </c>
      <c r="G43" s="155">
        <v>0</v>
      </c>
      <c r="H43" s="155">
        <v>0</v>
      </c>
      <c r="I43" s="323">
        <v>0</v>
      </c>
      <c r="J43" s="155">
        <v>0</v>
      </c>
      <c r="K43" s="155">
        <v>0</v>
      </c>
      <c r="L43" s="155">
        <v>0</v>
      </c>
      <c r="M43" s="155">
        <v>0</v>
      </c>
      <c r="N43" s="155">
        <v>0</v>
      </c>
      <c r="O43" s="155">
        <v>0</v>
      </c>
      <c r="P43" s="155">
        <v>0</v>
      </c>
      <c r="Q43" s="323"/>
      <c r="R43" s="155">
        <v>0</v>
      </c>
      <c r="S43" s="155">
        <v>0</v>
      </c>
      <c r="T43" s="155">
        <v>0</v>
      </c>
      <c r="U43" s="155">
        <v>0</v>
      </c>
      <c r="V43" s="155">
        <v>0</v>
      </c>
      <c r="W43" s="155">
        <v>0</v>
      </c>
      <c r="X43" s="155">
        <v>0</v>
      </c>
      <c r="Y43" s="323"/>
      <c r="Z43" s="324">
        <v>2936.21</v>
      </c>
      <c r="AA43" s="160"/>
      <c r="AB43" s="113">
        <f>SUM(B43:AA43)</f>
        <v>2936.21</v>
      </c>
      <c r="AC43" s="303">
        <f>'Area Festivals'!H111+'Area Festivals'!H112</f>
        <v>1920</v>
      </c>
      <c r="AD43" s="306">
        <f>SUM(AC43-AB43)</f>
        <v>-1016.21</v>
      </c>
      <c r="AE43" s="160"/>
      <c r="AG43" s="448"/>
    </row>
    <row r="44" spans="1:33">
      <c r="A44" s="170"/>
      <c r="B44" s="170"/>
      <c r="C44" s="155"/>
      <c r="D44" s="155"/>
      <c r="E44" s="155"/>
      <c r="F44" s="155"/>
      <c r="G44" s="155"/>
      <c r="H44" s="155"/>
      <c r="I44" s="323"/>
      <c r="J44" s="155"/>
      <c r="K44" s="155"/>
      <c r="L44" s="155"/>
      <c r="M44" s="155"/>
      <c r="N44" s="155"/>
      <c r="O44" s="155"/>
      <c r="P44" s="155"/>
      <c r="Q44" s="323"/>
      <c r="R44" s="155"/>
      <c r="S44" s="155"/>
      <c r="T44" s="155"/>
      <c r="U44" s="155"/>
      <c r="V44" s="155"/>
      <c r="W44" s="155"/>
      <c r="X44" s="155"/>
      <c r="Y44" s="323"/>
      <c r="Z44" s="324"/>
      <c r="AA44" s="160"/>
      <c r="AB44" s="113"/>
      <c r="AC44" s="303"/>
      <c r="AD44" s="306"/>
      <c r="AE44" s="160"/>
    </row>
    <row r="45" spans="1:33">
      <c r="A45" s="170" t="s">
        <v>204</v>
      </c>
      <c r="B45" s="170">
        <v>0</v>
      </c>
      <c r="C45" s="155">
        <v>0</v>
      </c>
      <c r="D45" s="155">
        <v>0</v>
      </c>
      <c r="E45" s="155">
        <v>0</v>
      </c>
      <c r="F45" s="155">
        <v>0</v>
      </c>
      <c r="G45" s="155">
        <v>0</v>
      </c>
      <c r="H45" s="155">
        <v>0</v>
      </c>
      <c r="I45" s="323">
        <v>600</v>
      </c>
      <c r="J45" s="155">
        <v>0</v>
      </c>
      <c r="K45" s="155">
        <v>0</v>
      </c>
      <c r="L45" s="155">
        <v>0</v>
      </c>
      <c r="M45" s="155">
        <v>0</v>
      </c>
      <c r="N45" s="155">
        <v>0</v>
      </c>
      <c r="O45" s="155">
        <v>0</v>
      </c>
      <c r="P45" s="155">
        <v>0</v>
      </c>
      <c r="Q45" s="323">
        <v>600</v>
      </c>
      <c r="R45" s="155">
        <v>0</v>
      </c>
      <c r="S45" s="155">
        <v>0</v>
      </c>
      <c r="T45" s="155">
        <v>0</v>
      </c>
      <c r="U45" s="155">
        <v>0</v>
      </c>
      <c r="V45" s="155">
        <v>0</v>
      </c>
      <c r="W45" s="155">
        <v>0</v>
      </c>
      <c r="X45" s="155">
        <v>0</v>
      </c>
      <c r="Y45" s="323">
        <v>600</v>
      </c>
      <c r="Z45" s="324"/>
      <c r="AA45" s="160"/>
      <c r="AB45" s="113">
        <f t="shared" ref="AB45:AB50" si="17">SUM(B45:AA45)</f>
        <v>1800</v>
      </c>
      <c r="AC45" s="303">
        <f>'Area Festivals'!H116+'Area Festivals'!H117</f>
        <v>2400</v>
      </c>
      <c r="AD45" s="306">
        <f t="shared" ref="AD45:AD50" si="18">SUM(AC45-AB45)</f>
        <v>600</v>
      </c>
      <c r="AE45" s="160">
        <v>1200</v>
      </c>
    </row>
    <row r="46" spans="1:33">
      <c r="A46" s="170" t="str">
        <f>'Area Festivals'!A118</f>
        <v>Marketing Campaign (per venue)</v>
      </c>
      <c r="B46" s="170">
        <v>0</v>
      </c>
      <c r="C46" s="155">
        <v>0</v>
      </c>
      <c r="D46" s="155">
        <v>0</v>
      </c>
      <c r="E46" s="155">
        <v>0</v>
      </c>
      <c r="F46" s="155">
        <v>0</v>
      </c>
      <c r="G46" s="155">
        <v>0</v>
      </c>
      <c r="H46" s="155">
        <v>0</v>
      </c>
      <c r="I46" s="323">
        <v>1000</v>
      </c>
      <c r="J46" s="155">
        <v>0</v>
      </c>
      <c r="K46" s="155">
        <v>0</v>
      </c>
      <c r="L46" s="155">
        <v>0</v>
      </c>
      <c r="M46" s="155">
        <v>0</v>
      </c>
      <c r="N46" s="155">
        <v>0</v>
      </c>
      <c r="O46" s="155">
        <v>0</v>
      </c>
      <c r="P46" s="155">
        <v>0</v>
      </c>
      <c r="Q46" s="323">
        <v>1500</v>
      </c>
      <c r="R46" s="155">
        <v>0</v>
      </c>
      <c r="S46" s="155">
        <v>0</v>
      </c>
      <c r="T46" s="155">
        <v>0</v>
      </c>
      <c r="U46" s="155">
        <v>0</v>
      </c>
      <c r="V46" s="155">
        <v>0</v>
      </c>
      <c r="W46" s="155">
        <v>0</v>
      </c>
      <c r="X46" s="155">
        <v>0</v>
      </c>
      <c r="Y46" s="323">
        <v>1500</v>
      </c>
      <c r="Z46" s="324"/>
      <c r="AA46" s="160"/>
      <c r="AB46" s="113">
        <f t="shared" si="17"/>
        <v>4000</v>
      </c>
      <c r="AC46" s="303">
        <f>'Area Festivals'!H118</f>
        <v>3500</v>
      </c>
      <c r="AD46" s="306">
        <f t="shared" si="18"/>
        <v>-500</v>
      </c>
      <c r="AE46" s="160">
        <v>200</v>
      </c>
    </row>
    <row r="47" spans="1:33">
      <c r="A47" s="170" t="str">
        <f>'Area Festivals'!A119</f>
        <v>Access Performances</v>
      </c>
      <c r="B47" s="170">
        <v>0</v>
      </c>
      <c r="C47" s="155">
        <v>0</v>
      </c>
      <c r="D47" s="155">
        <v>500</v>
      </c>
      <c r="E47" s="155">
        <v>0</v>
      </c>
      <c r="F47" s="155">
        <v>0</v>
      </c>
      <c r="G47" s="155">
        <v>0</v>
      </c>
      <c r="H47" s="155">
        <v>0</v>
      </c>
      <c r="I47" s="323">
        <v>0</v>
      </c>
      <c r="J47" s="155">
        <v>0</v>
      </c>
      <c r="K47" s="155">
        <v>0</v>
      </c>
      <c r="L47" s="155">
        <v>500</v>
      </c>
      <c r="M47" s="155">
        <v>0</v>
      </c>
      <c r="N47" s="155">
        <v>0</v>
      </c>
      <c r="O47" s="155">
        <v>0</v>
      </c>
      <c r="P47" s="155">
        <v>0</v>
      </c>
      <c r="Q47" s="323">
        <v>0</v>
      </c>
      <c r="R47" s="155">
        <v>0</v>
      </c>
      <c r="S47" s="155">
        <v>0</v>
      </c>
      <c r="T47" s="155">
        <v>0</v>
      </c>
      <c r="U47" s="155">
        <v>0</v>
      </c>
      <c r="V47" s="155">
        <v>0</v>
      </c>
      <c r="W47" s="155">
        <v>0</v>
      </c>
      <c r="X47" s="155">
        <v>0</v>
      </c>
      <c r="Y47" s="323">
        <v>0</v>
      </c>
      <c r="Z47" s="324"/>
      <c r="AA47" s="160"/>
      <c r="AB47" s="113">
        <f t="shared" si="17"/>
        <v>1000</v>
      </c>
      <c r="AC47" s="303">
        <f>'Area Festivals'!H119</f>
        <v>1500</v>
      </c>
      <c r="AD47" s="306">
        <f t="shared" si="18"/>
        <v>500</v>
      </c>
      <c r="AE47" s="160"/>
    </row>
    <row r="48" spans="1:33">
      <c r="A48" s="170" t="str">
        <f>'Area Festivals'!A121</f>
        <v>Photography / Filming / Documenting (per day)</v>
      </c>
      <c r="B48" s="170">
        <v>50</v>
      </c>
      <c r="C48" s="155">
        <v>50</v>
      </c>
      <c r="D48" s="155">
        <v>50</v>
      </c>
      <c r="E48" s="155">
        <v>50</v>
      </c>
      <c r="F48" s="155">
        <v>50</v>
      </c>
      <c r="G48" s="155">
        <v>50</v>
      </c>
      <c r="H48" s="155">
        <v>0</v>
      </c>
      <c r="I48" s="323">
        <v>0</v>
      </c>
      <c r="J48" s="155">
        <v>100</v>
      </c>
      <c r="K48" s="155">
        <v>50</v>
      </c>
      <c r="L48" s="155">
        <v>50</v>
      </c>
      <c r="M48" s="155">
        <v>0</v>
      </c>
      <c r="N48" s="155">
        <v>50</v>
      </c>
      <c r="O48" s="155">
        <v>50</v>
      </c>
      <c r="P48" s="155">
        <v>50</v>
      </c>
      <c r="Q48" s="323">
        <v>0</v>
      </c>
      <c r="R48" s="155">
        <v>50</v>
      </c>
      <c r="S48" s="155">
        <v>50</v>
      </c>
      <c r="T48" s="155">
        <v>0</v>
      </c>
      <c r="U48" s="155">
        <v>50</v>
      </c>
      <c r="V48" s="155">
        <v>50</v>
      </c>
      <c r="W48" s="155">
        <v>50</v>
      </c>
      <c r="X48" s="155">
        <v>50</v>
      </c>
      <c r="Y48" s="323">
        <v>0</v>
      </c>
      <c r="Z48" s="324"/>
      <c r="AA48" s="160"/>
      <c r="AB48" s="113">
        <f t="shared" si="17"/>
        <v>950</v>
      </c>
      <c r="AC48" s="303">
        <f>'Area Festivals'!H121</f>
        <v>900</v>
      </c>
      <c r="AD48" s="306">
        <f t="shared" si="18"/>
        <v>-50</v>
      </c>
      <c r="AE48" s="160"/>
    </row>
    <row r="49" spans="1:32">
      <c r="A49" s="170" t="str">
        <f>'Area Festivals'!A122</f>
        <v>Evaluation (per day)</v>
      </c>
      <c r="B49" s="170">
        <v>0</v>
      </c>
      <c r="C49" s="155">
        <v>0</v>
      </c>
      <c r="D49" s="155">
        <v>0</v>
      </c>
      <c r="E49" s="155">
        <v>0</v>
      </c>
      <c r="F49" s="155">
        <v>0</v>
      </c>
      <c r="G49" s="155">
        <v>0</v>
      </c>
      <c r="H49" s="155">
        <v>0</v>
      </c>
      <c r="I49" s="323">
        <v>200</v>
      </c>
      <c r="J49" s="155">
        <v>0</v>
      </c>
      <c r="K49" s="155">
        <v>0</v>
      </c>
      <c r="L49" s="155">
        <v>0</v>
      </c>
      <c r="M49" s="155">
        <v>0</v>
      </c>
      <c r="N49" s="155">
        <v>0</v>
      </c>
      <c r="O49" s="155">
        <v>0</v>
      </c>
      <c r="P49" s="155">
        <v>0</v>
      </c>
      <c r="Q49" s="323">
        <v>200</v>
      </c>
      <c r="R49" s="155">
        <v>0</v>
      </c>
      <c r="S49" s="155">
        <v>0</v>
      </c>
      <c r="T49" s="155">
        <v>0</v>
      </c>
      <c r="U49" s="155">
        <v>0</v>
      </c>
      <c r="V49" s="155">
        <v>0</v>
      </c>
      <c r="W49" s="155">
        <v>0</v>
      </c>
      <c r="X49" s="155">
        <v>0</v>
      </c>
      <c r="Y49" s="323">
        <v>200</v>
      </c>
      <c r="Z49" s="324"/>
      <c r="AA49" s="160"/>
      <c r="AB49" s="113">
        <f t="shared" si="17"/>
        <v>600</v>
      </c>
      <c r="AC49" s="303">
        <f>'Area Festivals'!H122</f>
        <v>600</v>
      </c>
      <c r="AD49" s="306">
        <f t="shared" si="18"/>
        <v>0</v>
      </c>
      <c r="AE49" s="160"/>
    </row>
    <row r="50" spans="1:32">
      <c r="A50" s="170" t="str">
        <f>'Area Festivals'!A120</f>
        <v>Remote Box Office Set-Up</v>
      </c>
      <c r="B50" s="157">
        <v>0</v>
      </c>
      <c r="C50" s="156">
        <v>0</v>
      </c>
      <c r="D50" s="156">
        <v>0</v>
      </c>
      <c r="E50" s="156">
        <v>0</v>
      </c>
      <c r="F50" s="156">
        <v>0</v>
      </c>
      <c r="G50" s="156">
        <v>0</v>
      </c>
      <c r="H50" s="156">
        <v>0</v>
      </c>
      <c r="I50" s="158">
        <v>300</v>
      </c>
      <c r="J50" s="156">
        <v>0</v>
      </c>
      <c r="K50" s="156">
        <v>0</v>
      </c>
      <c r="L50" s="156">
        <v>0</v>
      </c>
      <c r="M50" s="156">
        <v>0</v>
      </c>
      <c r="N50" s="156">
        <v>0</v>
      </c>
      <c r="O50" s="156">
        <v>0</v>
      </c>
      <c r="P50" s="156">
        <v>0</v>
      </c>
      <c r="Q50" s="158">
        <v>300</v>
      </c>
      <c r="R50" s="156">
        <v>0</v>
      </c>
      <c r="S50" s="156">
        <v>0</v>
      </c>
      <c r="T50" s="156">
        <v>0</v>
      </c>
      <c r="U50" s="156">
        <v>0</v>
      </c>
      <c r="V50" s="156">
        <v>0</v>
      </c>
      <c r="W50" s="156">
        <v>0</v>
      </c>
      <c r="X50" s="156">
        <v>0</v>
      </c>
      <c r="Y50" s="158">
        <v>300</v>
      </c>
      <c r="Z50" s="159"/>
      <c r="AA50" s="160"/>
      <c r="AB50" s="113">
        <f t="shared" si="17"/>
        <v>900</v>
      </c>
      <c r="AC50" s="303">
        <f>'Area Festivals'!H120</f>
        <v>900</v>
      </c>
      <c r="AD50" s="306">
        <f t="shared" si="18"/>
        <v>0</v>
      </c>
      <c r="AE50" s="160"/>
    </row>
    <row r="51" spans="1:32">
      <c r="A51" s="170"/>
      <c r="B51" s="157"/>
      <c r="C51" s="156"/>
      <c r="D51" s="156"/>
      <c r="E51" s="156"/>
      <c r="F51" s="156"/>
      <c r="G51" s="156"/>
      <c r="H51" s="156"/>
      <c r="I51" s="158"/>
      <c r="J51" s="156"/>
      <c r="K51" s="156"/>
      <c r="L51" s="156"/>
      <c r="M51" s="156"/>
      <c r="N51" s="156"/>
      <c r="O51" s="156"/>
      <c r="P51" s="156"/>
      <c r="Q51" s="158"/>
      <c r="R51" s="156"/>
      <c r="S51" s="156"/>
      <c r="T51" s="156"/>
      <c r="U51" s="156"/>
      <c r="V51" s="156"/>
      <c r="W51" s="156"/>
      <c r="X51" s="156"/>
      <c r="Y51" s="158"/>
      <c r="Z51" s="159"/>
      <c r="AA51" s="160"/>
      <c r="AB51" s="113"/>
      <c r="AC51" s="303"/>
      <c r="AD51" s="306"/>
      <c r="AE51" s="160"/>
    </row>
    <row r="52" spans="1:32" s="176" customFormat="1" ht="13.5" thickBot="1">
      <c r="A52" s="312" t="s">
        <v>205</v>
      </c>
      <c r="B52" s="313">
        <f t="shared" ref="B52:AB52" si="19">SUM(B34:B51)</f>
        <v>350</v>
      </c>
      <c r="C52" s="314">
        <f t="shared" si="19"/>
        <v>50</v>
      </c>
      <c r="D52" s="314">
        <f t="shared" si="19"/>
        <v>550</v>
      </c>
      <c r="E52" s="314">
        <f t="shared" si="19"/>
        <v>50</v>
      </c>
      <c r="F52" s="314">
        <f t="shared" si="19"/>
        <v>50</v>
      </c>
      <c r="G52" s="314">
        <f t="shared" si="19"/>
        <v>300</v>
      </c>
      <c r="H52" s="314">
        <f t="shared" si="19"/>
        <v>0</v>
      </c>
      <c r="I52" s="314">
        <f t="shared" si="19"/>
        <v>2110</v>
      </c>
      <c r="J52" s="314">
        <f t="shared" si="19"/>
        <v>100</v>
      </c>
      <c r="K52" s="314">
        <f t="shared" si="19"/>
        <v>50</v>
      </c>
      <c r="L52" s="314">
        <f t="shared" si="19"/>
        <v>550</v>
      </c>
      <c r="M52" s="314">
        <f t="shared" si="19"/>
        <v>0</v>
      </c>
      <c r="N52" s="314">
        <f t="shared" si="19"/>
        <v>50</v>
      </c>
      <c r="O52" s="314">
        <f t="shared" si="19"/>
        <v>50</v>
      </c>
      <c r="P52" s="314">
        <f t="shared" si="19"/>
        <v>50</v>
      </c>
      <c r="Q52" s="315"/>
      <c r="R52" s="314">
        <f t="shared" si="19"/>
        <v>50</v>
      </c>
      <c r="S52" s="314">
        <f t="shared" si="19"/>
        <v>50</v>
      </c>
      <c r="T52" s="314">
        <f t="shared" si="19"/>
        <v>0</v>
      </c>
      <c r="U52" s="314">
        <f t="shared" si="19"/>
        <v>50</v>
      </c>
      <c r="V52" s="314">
        <f t="shared" si="19"/>
        <v>50</v>
      </c>
      <c r="W52" s="314">
        <f t="shared" si="19"/>
        <v>50</v>
      </c>
      <c r="X52" s="314">
        <f t="shared" si="19"/>
        <v>50</v>
      </c>
      <c r="Y52" s="315">
        <f t="shared" si="19"/>
        <v>2600</v>
      </c>
      <c r="Z52" s="315">
        <f t="shared" si="19"/>
        <v>17736.560000000001</v>
      </c>
      <c r="AA52" s="244"/>
      <c r="AB52" s="244">
        <f t="shared" si="19"/>
        <v>27914.560000000001</v>
      </c>
      <c r="AC52" s="311">
        <f>SUM(AC34:AC50)</f>
        <v>26340</v>
      </c>
      <c r="AD52" s="317">
        <f>SUM(AC52-AB52)</f>
        <v>-1574.5600000000013</v>
      </c>
      <c r="AE52" s="339"/>
      <c r="AF52" s="318"/>
    </row>
    <row r="53" spans="1:32">
      <c r="A53" s="157"/>
      <c r="B53" s="157"/>
      <c r="C53" s="156"/>
      <c r="D53" s="156"/>
      <c r="E53" s="156"/>
      <c r="F53" s="156"/>
      <c r="G53" s="156"/>
      <c r="H53" s="156"/>
      <c r="I53" s="158"/>
      <c r="J53" s="156"/>
      <c r="K53" s="156"/>
      <c r="L53" s="156"/>
      <c r="M53" s="156"/>
      <c r="N53" s="156"/>
      <c r="O53" s="156"/>
      <c r="P53" s="156"/>
      <c r="Q53" s="158"/>
      <c r="R53" s="156"/>
      <c r="S53" s="156"/>
      <c r="T53" s="156"/>
      <c r="U53" s="156"/>
      <c r="V53" s="156"/>
      <c r="W53" s="156"/>
      <c r="X53" s="156"/>
      <c r="Y53" s="396"/>
      <c r="Z53" s="397"/>
      <c r="AA53" s="103"/>
      <c r="AB53" s="171"/>
      <c r="AC53" s="304"/>
      <c r="AD53" s="305"/>
      <c r="AE53" s="160"/>
    </row>
    <row r="54" spans="1:32" s="176" customFormat="1" ht="15.75" thickBot="1">
      <c r="A54" s="172" t="s">
        <v>206</v>
      </c>
      <c r="B54" s="173">
        <f t="shared" ref="B54:Z54" si="20">B29-B52</f>
        <v>438.8125</v>
      </c>
      <c r="C54" s="174">
        <f t="shared" si="20"/>
        <v>69.198333333333338</v>
      </c>
      <c r="D54" s="174">
        <f t="shared" si="20"/>
        <v>-208.43166666666662</v>
      </c>
      <c r="E54" s="174">
        <f t="shared" si="20"/>
        <v>265.52499999999998</v>
      </c>
      <c r="F54" s="174">
        <f t="shared" si="20"/>
        <v>1121.95</v>
      </c>
      <c r="G54" s="174">
        <f t="shared" si="20"/>
        <v>1052.25</v>
      </c>
      <c r="H54" s="174">
        <f t="shared" si="20"/>
        <v>0</v>
      </c>
      <c r="I54" s="174">
        <f t="shared" si="20"/>
        <v>-2110</v>
      </c>
      <c r="J54" s="174">
        <f t="shared" si="20"/>
        <v>415.65800000000002</v>
      </c>
      <c r="K54" s="174">
        <f t="shared" si="20"/>
        <v>400.75</v>
      </c>
      <c r="L54" s="174">
        <f t="shared" si="20"/>
        <v>238.8125</v>
      </c>
      <c r="M54" s="174">
        <f t="shared" si="20"/>
        <v>0</v>
      </c>
      <c r="N54" s="174">
        <f t="shared" si="20"/>
        <v>93.038000000000011</v>
      </c>
      <c r="O54" s="174">
        <f t="shared" si="20"/>
        <v>1121.95</v>
      </c>
      <c r="P54" s="174">
        <f t="shared" si="20"/>
        <v>626.125</v>
      </c>
      <c r="Q54" s="175"/>
      <c r="R54" s="174">
        <f t="shared" si="20"/>
        <v>272.28625</v>
      </c>
      <c r="S54" s="174">
        <f t="shared" si="20"/>
        <v>188.39666666666668</v>
      </c>
      <c r="T54" s="174">
        <f t="shared" si="20"/>
        <v>0</v>
      </c>
      <c r="U54" s="174">
        <f t="shared" si="20"/>
        <v>340.65</v>
      </c>
      <c r="V54" s="174">
        <f t="shared" si="20"/>
        <v>1302.25</v>
      </c>
      <c r="W54" s="174">
        <f t="shared" si="20"/>
        <v>475.875</v>
      </c>
      <c r="X54" s="174">
        <f t="shared" si="20"/>
        <v>78.914500000000004</v>
      </c>
      <c r="Y54" s="174">
        <f t="shared" si="20"/>
        <v>-2600</v>
      </c>
      <c r="Z54" s="174">
        <f t="shared" si="20"/>
        <v>-17736.560000000001</v>
      </c>
      <c r="AA54" s="511" t="s">
        <v>207</v>
      </c>
      <c r="AB54" s="512"/>
      <c r="AC54" s="513"/>
      <c r="AD54" s="337">
        <f>AD29+AD31+AD52</f>
        <v>1642.1587499999987</v>
      </c>
      <c r="AE54" s="340"/>
    </row>
    <row r="55" spans="1:32" s="176" customFormat="1">
      <c r="A55" s="177"/>
      <c r="B55" s="178"/>
      <c r="C55" s="179"/>
      <c r="D55" s="179"/>
      <c r="E55" s="179"/>
      <c r="F55" s="179"/>
      <c r="G55" s="179"/>
      <c r="H55" s="179"/>
      <c r="I55" s="180"/>
      <c r="J55" s="179"/>
      <c r="K55" s="179"/>
      <c r="L55" s="179"/>
      <c r="M55" s="179"/>
      <c r="N55" s="179"/>
      <c r="O55" s="179"/>
      <c r="P55" s="179"/>
      <c r="Q55" s="180"/>
      <c r="R55" s="179"/>
      <c r="S55" s="179"/>
      <c r="T55" s="179"/>
      <c r="U55" s="179"/>
      <c r="V55" s="179"/>
      <c r="W55" s="179"/>
      <c r="X55" s="179"/>
      <c r="Y55" s="393"/>
      <c r="Z55" s="179"/>
      <c r="AA55" s="179"/>
      <c r="AB55" s="179"/>
      <c r="AC55" s="181"/>
      <c r="AE55" s="181"/>
    </row>
    <row r="56" spans="1:32">
      <c r="A56" s="182" t="s">
        <v>208</v>
      </c>
      <c r="B56" s="183"/>
      <c r="C56" s="184"/>
      <c r="D56" s="184"/>
      <c r="E56" s="184"/>
      <c r="F56" s="184"/>
      <c r="G56" s="184"/>
      <c r="H56" s="184"/>
      <c r="I56" s="185"/>
      <c r="J56" s="184"/>
      <c r="K56" s="184"/>
      <c r="L56" s="184"/>
      <c r="M56" s="184"/>
      <c r="N56" s="184"/>
      <c r="O56" s="184"/>
      <c r="P56" s="184"/>
      <c r="Q56" s="185"/>
      <c r="R56" s="184"/>
      <c r="S56" s="184"/>
      <c r="T56" s="184"/>
      <c r="U56" s="184"/>
      <c r="V56" s="184"/>
      <c r="W56" s="184"/>
      <c r="X56" s="184"/>
      <c r="Y56" s="185"/>
      <c r="Z56" s="184"/>
      <c r="AA56" s="186"/>
      <c r="AB56" s="156"/>
      <c r="AC56" s="246"/>
      <c r="AE56" s="246"/>
    </row>
    <row r="57" spans="1:32">
      <c r="A57" s="187" t="s">
        <v>209</v>
      </c>
      <c r="B57" s="188"/>
      <c r="C57" s="189"/>
      <c r="D57" s="189"/>
      <c r="E57" s="189"/>
      <c r="F57" s="189"/>
      <c r="G57" s="189"/>
      <c r="H57" s="189"/>
      <c r="I57" s="190"/>
      <c r="J57" s="189"/>
      <c r="K57" s="189"/>
      <c r="L57" s="189"/>
      <c r="M57" s="189"/>
      <c r="N57" s="189"/>
      <c r="O57" s="189"/>
      <c r="P57" s="189"/>
      <c r="Q57" s="190"/>
      <c r="R57" s="189"/>
      <c r="S57" s="189"/>
      <c r="T57" s="189"/>
      <c r="U57" s="189"/>
      <c r="V57" s="189"/>
      <c r="W57" s="189"/>
      <c r="X57" s="189"/>
      <c r="Y57" s="190"/>
      <c r="Z57" s="189"/>
      <c r="AA57" s="186"/>
      <c r="AB57" s="156"/>
      <c r="AC57" s="186"/>
      <c r="AE57" s="186"/>
    </row>
    <row r="58" spans="1:32">
      <c r="A58" s="168"/>
      <c r="B58" s="157"/>
      <c r="C58" s="156"/>
      <c r="D58" s="156"/>
      <c r="E58" s="156"/>
      <c r="F58" s="156"/>
      <c r="G58" s="156"/>
      <c r="H58" s="156"/>
      <c r="I58" s="158"/>
      <c r="J58" s="156"/>
      <c r="K58" s="156"/>
      <c r="L58" s="156"/>
      <c r="M58" s="156"/>
      <c r="N58" s="156"/>
      <c r="O58" s="156"/>
      <c r="P58" s="156"/>
      <c r="Q58" s="158"/>
      <c r="R58" s="156"/>
      <c r="S58" s="156"/>
      <c r="T58" s="156"/>
      <c r="U58" s="156"/>
      <c r="V58" s="156"/>
      <c r="W58" s="156"/>
      <c r="X58" s="156"/>
      <c r="Y58" s="158"/>
      <c r="Z58" s="156"/>
      <c r="AA58" s="155"/>
      <c r="AB58" s="156"/>
      <c r="AC58" s="155"/>
      <c r="AE58" s="155"/>
    </row>
    <row r="59" spans="1:32">
      <c r="A59" s="191"/>
      <c r="B59" s="191"/>
      <c r="C59" s="192"/>
      <c r="D59" s="192"/>
      <c r="E59" s="192"/>
      <c r="F59" s="192"/>
      <c r="G59" s="192"/>
      <c r="H59" s="192"/>
      <c r="I59" s="193"/>
      <c r="J59" s="192"/>
      <c r="K59" s="192"/>
      <c r="L59" s="192"/>
      <c r="M59" s="192"/>
      <c r="N59" s="192"/>
      <c r="O59" s="192"/>
      <c r="P59" s="192"/>
      <c r="Q59" s="193"/>
      <c r="R59" s="192"/>
      <c r="S59" s="192"/>
      <c r="T59" s="192"/>
      <c r="U59" s="192"/>
      <c r="V59" s="192"/>
      <c r="W59" s="192"/>
      <c r="X59" s="192"/>
      <c r="Y59" s="193"/>
      <c r="Z59" s="192"/>
      <c r="AA59" s="155"/>
      <c r="AB59" s="156"/>
      <c r="AC59" s="155"/>
      <c r="AE59" s="155"/>
    </row>
    <row r="60" spans="1:32">
      <c r="A60" s="168" t="s">
        <v>210</v>
      </c>
      <c r="B60" s="157"/>
      <c r="C60" s="156"/>
      <c r="D60" s="156"/>
      <c r="E60" s="156"/>
      <c r="F60" s="156"/>
      <c r="G60" s="156"/>
      <c r="H60" s="156"/>
      <c r="I60" s="158"/>
      <c r="J60" s="156"/>
      <c r="K60" s="156"/>
      <c r="L60" s="156"/>
      <c r="M60" s="156"/>
      <c r="N60" s="156"/>
      <c r="O60" s="156"/>
      <c r="P60" s="156"/>
      <c r="Q60" s="158"/>
      <c r="R60" s="156"/>
      <c r="S60" s="156"/>
      <c r="T60" s="156"/>
      <c r="U60" s="156"/>
      <c r="V60" s="156"/>
      <c r="W60" s="156"/>
      <c r="X60" s="156"/>
      <c r="Y60" s="158"/>
      <c r="Z60" s="156"/>
      <c r="AA60" s="155"/>
      <c r="AB60" s="156"/>
      <c r="AC60" s="155"/>
      <c r="AE60" s="155"/>
    </row>
    <row r="61" spans="1:32">
      <c r="A61" s="150" t="s">
        <v>211</v>
      </c>
      <c r="B61" s="194">
        <v>0</v>
      </c>
      <c r="C61" s="195">
        <v>0</v>
      </c>
      <c r="D61" s="195">
        <v>0</v>
      </c>
      <c r="E61" s="195">
        <v>0</v>
      </c>
      <c r="F61" s="195">
        <v>0</v>
      </c>
      <c r="G61" s="195">
        <v>0</v>
      </c>
      <c r="H61" s="195">
        <v>0</v>
      </c>
      <c r="I61" s="196"/>
      <c r="J61" s="195">
        <v>0</v>
      </c>
      <c r="K61" s="195">
        <v>0</v>
      </c>
      <c r="L61" s="195">
        <v>0</v>
      </c>
      <c r="M61" s="195">
        <v>0</v>
      </c>
      <c r="N61" s="195">
        <v>0</v>
      </c>
      <c r="O61" s="195">
        <v>0</v>
      </c>
      <c r="P61" s="195">
        <v>0</v>
      </c>
      <c r="Q61" s="196"/>
      <c r="R61" s="195">
        <v>0</v>
      </c>
      <c r="S61" s="195">
        <v>0</v>
      </c>
      <c r="T61" s="195">
        <v>0</v>
      </c>
      <c r="U61" s="195">
        <v>0</v>
      </c>
      <c r="V61" s="195">
        <v>0</v>
      </c>
      <c r="W61" s="195">
        <v>0</v>
      </c>
      <c r="X61" s="195">
        <v>0</v>
      </c>
      <c r="Y61" s="196"/>
      <c r="Z61" s="195"/>
      <c r="AA61" s="197"/>
      <c r="AB61" s="156"/>
      <c r="AC61" s="197"/>
      <c r="AE61" s="197"/>
    </row>
    <row r="62" spans="1:32">
      <c r="A62" s="157"/>
      <c r="B62" s="157"/>
      <c r="C62" s="156"/>
      <c r="D62" s="156"/>
      <c r="E62" s="156"/>
      <c r="F62" s="156"/>
      <c r="G62" s="156"/>
      <c r="H62" s="156"/>
      <c r="I62" s="158"/>
      <c r="J62" s="156"/>
      <c r="K62" s="156"/>
      <c r="L62" s="156"/>
      <c r="M62" s="156"/>
      <c r="N62" s="156"/>
      <c r="O62" s="156"/>
      <c r="P62" s="156"/>
      <c r="Q62" s="158"/>
      <c r="R62" s="156"/>
      <c r="S62" s="156"/>
      <c r="T62" s="156"/>
      <c r="U62" s="156"/>
      <c r="V62" s="156"/>
      <c r="W62" s="156"/>
      <c r="X62" s="156"/>
      <c r="Y62" s="158"/>
      <c r="Z62" s="156"/>
      <c r="AA62" s="155"/>
      <c r="AB62" s="156"/>
      <c r="AC62" s="155"/>
      <c r="AE62" s="155"/>
    </row>
    <row r="63" spans="1:32">
      <c r="A63" s="198" t="s">
        <v>212</v>
      </c>
      <c r="B63" s="157"/>
      <c r="C63" s="156"/>
      <c r="D63" s="156"/>
      <c r="E63" s="156"/>
      <c r="F63" s="156"/>
      <c r="G63" s="156"/>
      <c r="H63" s="156"/>
      <c r="I63" s="158"/>
      <c r="J63" s="156"/>
      <c r="K63" s="156"/>
      <c r="L63" s="156"/>
      <c r="M63" s="156"/>
      <c r="N63" s="156"/>
      <c r="O63" s="156"/>
      <c r="P63" s="156"/>
      <c r="Q63" s="158"/>
      <c r="R63" s="156"/>
      <c r="S63" s="156"/>
      <c r="T63" s="156"/>
      <c r="U63" s="156"/>
      <c r="V63" s="156"/>
      <c r="W63" s="156"/>
      <c r="X63" s="156"/>
      <c r="Y63" s="158"/>
      <c r="Z63" s="156"/>
      <c r="AA63" s="155"/>
      <c r="AB63" s="156"/>
      <c r="AC63" s="155"/>
      <c r="AE63" s="155"/>
    </row>
    <row r="64" spans="1:32">
      <c r="A64" s="168" t="s">
        <v>213</v>
      </c>
      <c r="B64" s="157"/>
      <c r="C64" s="156"/>
      <c r="D64" s="156"/>
      <c r="E64" s="156"/>
      <c r="F64" s="156"/>
      <c r="G64" s="156"/>
      <c r="H64" s="156"/>
      <c r="I64" s="158"/>
      <c r="J64" s="156"/>
      <c r="K64" s="156"/>
      <c r="L64" s="156"/>
      <c r="M64" s="156"/>
      <c r="N64" s="156"/>
      <c r="O64" s="156"/>
      <c r="P64" s="156"/>
      <c r="Q64" s="158"/>
      <c r="R64" s="156"/>
      <c r="S64" s="156"/>
      <c r="T64" s="156"/>
      <c r="U64" s="156"/>
      <c r="V64" s="156"/>
      <c r="W64" s="156"/>
      <c r="X64" s="156"/>
      <c r="Y64" s="158"/>
      <c r="Z64" s="156"/>
      <c r="AA64" s="155"/>
      <c r="AB64" s="156"/>
      <c r="AC64" s="155"/>
      <c r="AE64" s="155"/>
    </row>
    <row r="65" spans="1:31">
      <c r="A65" s="157" t="s">
        <v>214</v>
      </c>
      <c r="B65" s="157">
        <f t="shared" ref="B65:X65" si="21">B26</f>
        <v>984.375</v>
      </c>
      <c r="C65" s="156">
        <f t="shared" si="21"/>
        <v>148.75</v>
      </c>
      <c r="D65" s="156">
        <f t="shared" si="21"/>
        <v>426.25000000000006</v>
      </c>
      <c r="E65" s="156">
        <f t="shared" si="21"/>
        <v>393.75</v>
      </c>
      <c r="F65" s="156">
        <f t="shared" si="21"/>
        <v>1462.5</v>
      </c>
      <c r="G65" s="156">
        <f t="shared" si="21"/>
        <v>1687.5</v>
      </c>
      <c r="H65" s="156">
        <f t="shared" si="21"/>
        <v>0</v>
      </c>
      <c r="I65" s="158"/>
      <c r="J65" s="156">
        <f t="shared" si="21"/>
        <v>643.5</v>
      </c>
      <c r="K65" s="156">
        <f t="shared" si="21"/>
        <v>562.5</v>
      </c>
      <c r="L65" s="156">
        <f t="shared" si="21"/>
        <v>984.375</v>
      </c>
      <c r="M65" s="156">
        <f t="shared" si="21"/>
        <v>0</v>
      </c>
      <c r="N65" s="156">
        <f t="shared" si="21"/>
        <v>178.5</v>
      </c>
      <c r="O65" s="156">
        <f t="shared" si="21"/>
        <v>1462.5</v>
      </c>
      <c r="P65" s="156">
        <f t="shared" si="21"/>
        <v>843.75</v>
      </c>
      <c r="Q65" s="158"/>
      <c r="R65" s="156">
        <f t="shared" si="21"/>
        <v>402.1875</v>
      </c>
      <c r="S65" s="156">
        <f t="shared" si="21"/>
        <v>297.5</v>
      </c>
      <c r="T65" s="156">
        <f t="shared" si="21"/>
        <v>0</v>
      </c>
      <c r="U65" s="156">
        <f t="shared" si="21"/>
        <v>487.5</v>
      </c>
      <c r="V65" s="156">
        <f t="shared" si="21"/>
        <v>1687.5</v>
      </c>
      <c r="W65" s="156">
        <f t="shared" si="21"/>
        <v>656.25</v>
      </c>
      <c r="X65" s="156">
        <f t="shared" si="21"/>
        <v>160.875</v>
      </c>
      <c r="Y65" s="158"/>
      <c r="Z65" s="156"/>
      <c r="AA65" s="155"/>
      <c r="AB65" s="155"/>
      <c r="AC65" s="155"/>
      <c r="AE65" s="155"/>
    </row>
    <row r="66" spans="1:31">
      <c r="A66" s="157" t="s">
        <v>215</v>
      </c>
      <c r="B66" s="157">
        <f t="shared" ref="B66:X66" si="22">-B65*0.013</f>
        <v>-12.796875</v>
      </c>
      <c r="C66" s="156">
        <f t="shared" si="22"/>
        <v>-1.9337499999999999</v>
      </c>
      <c r="D66" s="156">
        <f t="shared" si="22"/>
        <v>-5.5412500000000007</v>
      </c>
      <c r="E66" s="156">
        <f t="shared" si="22"/>
        <v>-5.1187499999999995</v>
      </c>
      <c r="F66" s="156">
        <f t="shared" si="22"/>
        <v>-19.012499999999999</v>
      </c>
      <c r="G66" s="156">
        <f t="shared" si="22"/>
        <v>-21.9375</v>
      </c>
      <c r="H66" s="156">
        <f t="shared" si="22"/>
        <v>0</v>
      </c>
      <c r="I66" s="158"/>
      <c r="J66" s="156">
        <f t="shared" si="22"/>
        <v>-8.365499999999999</v>
      </c>
      <c r="K66" s="156">
        <f t="shared" si="22"/>
        <v>-7.3125</v>
      </c>
      <c r="L66" s="156">
        <f t="shared" si="22"/>
        <v>-12.796875</v>
      </c>
      <c r="M66" s="156">
        <f t="shared" si="22"/>
        <v>0</v>
      </c>
      <c r="N66" s="156">
        <f t="shared" si="22"/>
        <v>-2.3205</v>
      </c>
      <c r="O66" s="156">
        <f t="shared" si="22"/>
        <v>-19.012499999999999</v>
      </c>
      <c r="P66" s="156">
        <f t="shared" si="22"/>
        <v>-10.96875</v>
      </c>
      <c r="Q66" s="158"/>
      <c r="R66" s="156">
        <f t="shared" si="22"/>
        <v>-5.2284375000000001</v>
      </c>
      <c r="S66" s="156">
        <f t="shared" si="22"/>
        <v>-3.8674999999999997</v>
      </c>
      <c r="T66" s="156">
        <f t="shared" si="22"/>
        <v>0</v>
      </c>
      <c r="U66" s="156">
        <f t="shared" si="22"/>
        <v>-6.3374999999999995</v>
      </c>
      <c r="V66" s="156">
        <f t="shared" si="22"/>
        <v>-21.9375</v>
      </c>
      <c r="W66" s="156">
        <f t="shared" si="22"/>
        <v>-8.53125</v>
      </c>
      <c r="X66" s="156">
        <f t="shared" si="22"/>
        <v>-2.0913749999999998</v>
      </c>
      <c r="Y66" s="158"/>
      <c r="Z66" s="156"/>
      <c r="AA66" s="155"/>
      <c r="AB66" s="181"/>
      <c r="AC66" s="155"/>
      <c r="AE66" s="155"/>
    </row>
    <row r="67" spans="1:31">
      <c r="A67" s="157" t="s">
        <v>216</v>
      </c>
      <c r="B67" s="157">
        <f t="shared" ref="B67:X67" si="23">-B65*0.019</f>
        <v>-18.703125</v>
      </c>
      <c r="C67" s="156">
        <f t="shared" si="23"/>
        <v>-2.8262499999999999</v>
      </c>
      <c r="D67" s="156">
        <f t="shared" si="23"/>
        <v>-8.0987500000000008</v>
      </c>
      <c r="E67" s="156">
        <f t="shared" si="23"/>
        <v>-7.4812500000000002</v>
      </c>
      <c r="F67" s="156">
        <f t="shared" si="23"/>
        <v>-27.787499999999998</v>
      </c>
      <c r="G67" s="156">
        <f t="shared" si="23"/>
        <v>-32.0625</v>
      </c>
      <c r="H67" s="156">
        <f t="shared" si="23"/>
        <v>0</v>
      </c>
      <c r="I67" s="158"/>
      <c r="J67" s="156">
        <f t="shared" si="23"/>
        <v>-12.2265</v>
      </c>
      <c r="K67" s="156">
        <f t="shared" si="23"/>
        <v>-10.6875</v>
      </c>
      <c r="L67" s="156">
        <f t="shared" si="23"/>
        <v>-18.703125</v>
      </c>
      <c r="M67" s="156">
        <f t="shared" si="23"/>
        <v>0</v>
      </c>
      <c r="N67" s="156">
        <f t="shared" si="23"/>
        <v>-3.3914999999999997</v>
      </c>
      <c r="O67" s="156">
        <f t="shared" si="23"/>
        <v>-27.787499999999998</v>
      </c>
      <c r="P67" s="156">
        <f t="shared" si="23"/>
        <v>-16.03125</v>
      </c>
      <c r="Q67" s="158"/>
      <c r="R67" s="156">
        <f t="shared" si="23"/>
        <v>-7.6415625</v>
      </c>
      <c r="S67" s="156">
        <f t="shared" si="23"/>
        <v>-5.6524999999999999</v>
      </c>
      <c r="T67" s="156">
        <f t="shared" si="23"/>
        <v>0</v>
      </c>
      <c r="U67" s="156">
        <f t="shared" si="23"/>
        <v>-9.2624999999999993</v>
      </c>
      <c r="V67" s="156">
        <f t="shared" si="23"/>
        <v>-32.0625</v>
      </c>
      <c r="W67" s="156">
        <f t="shared" si="23"/>
        <v>-12.46875</v>
      </c>
      <c r="X67" s="156">
        <f t="shared" si="23"/>
        <v>-3.0566249999999999</v>
      </c>
      <c r="Y67" s="158"/>
      <c r="Z67" s="156"/>
      <c r="AA67" s="155"/>
      <c r="AB67" s="181"/>
      <c r="AC67" s="155"/>
      <c r="AE67" s="155"/>
    </row>
    <row r="68" spans="1:31">
      <c r="A68" s="157" t="s">
        <v>217</v>
      </c>
      <c r="B68" s="157">
        <f t="shared" ref="B68:X68" si="24">+B65+B66+B67+B28</f>
        <v>788.8125</v>
      </c>
      <c r="C68" s="156">
        <f t="shared" si="24"/>
        <v>119.19833333333334</v>
      </c>
      <c r="D68" s="156">
        <f t="shared" si="24"/>
        <v>341.56833333333338</v>
      </c>
      <c r="E68" s="156">
        <f t="shared" si="24"/>
        <v>315.52500000000003</v>
      </c>
      <c r="F68" s="156">
        <f t="shared" si="24"/>
        <v>1171.95</v>
      </c>
      <c r="G68" s="156">
        <f t="shared" si="24"/>
        <v>1352.25</v>
      </c>
      <c r="H68" s="156">
        <f t="shared" si="24"/>
        <v>0</v>
      </c>
      <c r="I68" s="158"/>
      <c r="J68" s="156">
        <f t="shared" si="24"/>
        <v>515.65800000000002</v>
      </c>
      <c r="K68" s="156">
        <f t="shared" si="24"/>
        <v>450.75</v>
      </c>
      <c r="L68" s="156">
        <f t="shared" si="24"/>
        <v>788.8125</v>
      </c>
      <c r="M68" s="156">
        <f t="shared" si="24"/>
        <v>0</v>
      </c>
      <c r="N68" s="156">
        <f t="shared" si="24"/>
        <v>143.03799999999998</v>
      </c>
      <c r="O68" s="156">
        <f t="shared" si="24"/>
        <v>1171.95</v>
      </c>
      <c r="P68" s="156">
        <f t="shared" si="24"/>
        <v>676.125</v>
      </c>
      <c r="Q68" s="158"/>
      <c r="R68" s="156">
        <f t="shared" si="24"/>
        <v>322.28625</v>
      </c>
      <c r="S68" s="156">
        <f t="shared" si="24"/>
        <v>238.39666666666668</v>
      </c>
      <c r="T68" s="156">
        <f t="shared" si="24"/>
        <v>0</v>
      </c>
      <c r="U68" s="156">
        <f t="shared" si="24"/>
        <v>390.65000000000003</v>
      </c>
      <c r="V68" s="156">
        <f t="shared" si="24"/>
        <v>1352.25</v>
      </c>
      <c r="W68" s="156">
        <f t="shared" si="24"/>
        <v>525.875</v>
      </c>
      <c r="X68" s="156">
        <f t="shared" si="24"/>
        <v>128.9145</v>
      </c>
      <c r="Y68" s="158"/>
      <c r="Z68" s="156"/>
      <c r="AA68" s="155"/>
      <c r="AB68" s="155"/>
      <c r="AC68" s="155"/>
      <c r="AE68" s="155"/>
    </row>
    <row r="69" spans="1:31">
      <c r="A69" s="157" t="s">
        <v>218</v>
      </c>
      <c r="B69" s="157">
        <f t="shared" ref="B69:X69" si="25">-B68*B61</f>
        <v>0</v>
      </c>
      <c r="C69" s="156">
        <f t="shared" si="25"/>
        <v>0</v>
      </c>
      <c r="D69" s="156">
        <f t="shared" si="25"/>
        <v>0</v>
      </c>
      <c r="E69" s="156">
        <f t="shared" si="25"/>
        <v>0</v>
      </c>
      <c r="F69" s="156">
        <f t="shared" si="25"/>
        <v>0</v>
      </c>
      <c r="G69" s="156">
        <f t="shared" si="25"/>
        <v>0</v>
      </c>
      <c r="H69" s="156">
        <f t="shared" si="25"/>
        <v>0</v>
      </c>
      <c r="I69" s="158"/>
      <c r="J69" s="156">
        <f t="shared" si="25"/>
        <v>0</v>
      </c>
      <c r="K69" s="156">
        <f t="shared" si="25"/>
        <v>0</v>
      </c>
      <c r="L69" s="156">
        <f t="shared" si="25"/>
        <v>0</v>
      </c>
      <c r="M69" s="156">
        <f t="shared" si="25"/>
        <v>0</v>
      </c>
      <c r="N69" s="156">
        <f t="shared" si="25"/>
        <v>0</v>
      </c>
      <c r="O69" s="156">
        <f t="shared" si="25"/>
        <v>0</v>
      </c>
      <c r="P69" s="156">
        <f t="shared" si="25"/>
        <v>0</v>
      </c>
      <c r="Q69" s="158"/>
      <c r="R69" s="156">
        <f t="shared" si="25"/>
        <v>0</v>
      </c>
      <c r="S69" s="156">
        <f t="shared" si="25"/>
        <v>0</v>
      </c>
      <c r="T69" s="156">
        <f t="shared" si="25"/>
        <v>0</v>
      </c>
      <c r="U69" s="156">
        <f t="shared" si="25"/>
        <v>0</v>
      </c>
      <c r="V69" s="156">
        <f t="shared" si="25"/>
        <v>0</v>
      </c>
      <c r="W69" s="156">
        <f t="shared" si="25"/>
        <v>0</v>
      </c>
      <c r="X69" s="156">
        <f t="shared" si="25"/>
        <v>0</v>
      </c>
      <c r="Y69" s="158"/>
      <c r="Z69" s="156"/>
      <c r="AA69" s="155"/>
      <c r="AB69" s="156"/>
      <c r="AC69" s="155"/>
      <c r="AE69" s="155"/>
    </row>
    <row r="70" spans="1:31">
      <c r="A70" s="157"/>
      <c r="B70" s="157"/>
      <c r="C70" s="156"/>
      <c r="D70" s="156"/>
      <c r="E70" s="156"/>
      <c r="F70" s="156"/>
      <c r="G70" s="156"/>
      <c r="H70" s="156"/>
      <c r="I70" s="158"/>
      <c r="J70" s="156"/>
      <c r="K70" s="156"/>
      <c r="L70" s="156"/>
      <c r="M70" s="156"/>
      <c r="N70" s="156"/>
      <c r="O70" s="156"/>
      <c r="P70" s="156"/>
      <c r="Q70" s="158"/>
      <c r="R70" s="156"/>
      <c r="S70" s="156"/>
      <c r="T70" s="156"/>
      <c r="U70" s="156"/>
      <c r="V70" s="156"/>
      <c r="W70" s="156"/>
      <c r="X70" s="156"/>
      <c r="Y70" s="158"/>
      <c r="Z70" s="156"/>
      <c r="AA70" s="155"/>
      <c r="AB70" s="156"/>
      <c r="AC70" s="155"/>
      <c r="AE70" s="155"/>
    </row>
    <row r="71" spans="1:31">
      <c r="A71" s="199" t="s">
        <v>219</v>
      </c>
      <c r="B71" s="200"/>
      <c r="C71" s="201"/>
      <c r="D71" s="201"/>
      <c r="E71" s="201"/>
      <c r="F71" s="201"/>
      <c r="G71" s="201"/>
      <c r="H71" s="201"/>
      <c r="I71" s="202"/>
      <c r="J71" s="201"/>
      <c r="K71" s="201"/>
      <c r="L71" s="201"/>
      <c r="M71" s="201"/>
      <c r="N71" s="201"/>
      <c r="O71" s="201"/>
      <c r="P71" s="201"/>
      <c r="Q71" s="202"/>
      <c r="R71" s="201"/>
      <c r="S71" s="201"/>
      <c r="T71" s="201"/>
      <c r="U71" s="201"/>
      <c r="V71" s="201"/>
      <c r="W71" s="201"/>
      <c r="X71" s="201"/>
      <c r="Y71" s="202"/>
      <c r="Z71" s="201"/>
      <c r="AA71" s="203"/>
      <c r="AB71" s="156"/>
      <c r="AC71" s="203"/>
      <c r="AE71" s="203"/>
    </row>
    <row r="72" spans="1:31" s="208" customFormat="1">
      <c r="A72" s="204" t="s">
        <v>220</v>
      </c>
      <c r="B72" s="205">
        <v>8</v>
      </c>
      <c r="C72" s="206">
        <v>8</v>
      </c>
      <c r="D72" s="206">
        <v>8</v>
      </c>
      <c r="E72" s="206">
        <v>8</v>
      </c>
      <c r="F72" s="206">
        <v>8</v>
      </c>
      <c r="G72" s="206">
        <v>8</v>
      </c>
      <c r="H72" s="206">
        <v>8</v>
      </c>
      <c r="I72" s="207"/>
      <c r="J72" s="206">
        <v>8</v>
      </c>
      <c r="K72" s="206">
        <v>8</v>
      </c>
      <c r="L72" s="206">
        <v>8</v>
      </c>
      <c r="M72" s="206">
        <v>0</v>
      </c>
      <c r="N72" s="206">
        <v>8</v>
      </c>
      <c r="O72" s="206">
        <v>8</v>
      </c>
      <c r="P72" s="206">
        <v>8</v>
      </c>
      <c r="Q72" s="207"/>
      <c r="R72" s="206">
        <v>8</v>
      </c>
      <c r="S72" s="206">
        <v>8</v>
      </c>
      <c r="T72" s="206">
        <v>8</v>
      </c>
      <c r="U72" s="206">
        <v>8</v>
      </c>
      <c r="V72" s="206">
        <v>8</v>
      </c>
      <c r="W72" s="206">
        <v>8</v>
      </c>
      <c r="X72" s="206">
        <v>8</v>
      </c>
      <c r="Y72" s="207"/>
      <c r="Z72" s="206"/>
      <c r="AA72" s="203"/>
      <c r="AB72" s="156"/>
      <c r="AC72" s="203"/>
      <c r="AE72" s="203"/>
    </row>
    <row r="73" spans="1:31" s="208" customFormat="1">
      <c r="A73" s="204" t="s">
        <v>221</v>
      </c>
      <c r="B73" s="209">
        <v>4</v>
      </c>
      <c r="C73" s="210">
        <v>4</v>
      </c>
      <c r="D73" s="210">
        <v>4</v>
      </c>
      <c r="E73" s="210">
        <v>6</v>
      </c>
      <c r="F73" s="210">
        <v>9</v>
      </c>
      <c r="G73" s="210">
        <v>4</v>
      </c>
      <c r="H73" s="210">
        <v>0</v>
      </c>
      <c r="I73" s="211"/>
      <c r="J73" s="210">
        <v>12</v>
      </c>
      <c r="K73" s="210">
        <v>4</v>
      </c>
      <c r="L73" s="210">
        <v>4</v>
      </c>
      <c r="M73" s="210">
        <v>0</v>
      </c>
      <c r="N73" s="210">
        <v>4</v>
      </c>
      <c r="O73" s="210">
        <v>9</v>
      </c>
      <c r="P73" s="210">
        <v>4</v>
      </c>
      <c r="Q73" s="211"/>
      <c r="R73" s="210">
        <v>4</v>
      </c>
      <c r="S73" s="210">
        <v>6</v>
      </c>
      <c r="T73" s="210">
        <v>0</v>
      </c>
      <c r="U73" s="210">
        <v>9</v>
      </c>
      <c r="V73" s="210">
        <v>4</v>
      </c>
      <c r="W73" s="210">
        <v>4</v>
      </c>
      <c r="X73" s="210">
        <v>4</v>
      </c>
      <c r="Y73" s="211"/>
      <c r="Z73" s="210"/>
      <c r="AA73" s="203"/>
      <c r="AB73" s="156"/>
      <c r="AC73" s="203"/>
      <c r="AE73" s="203"/>
    </row>
    <row r="74" spans="1:31" s="208" customFormat="1" ht="14.25" customHeight="1">
      <c r="A74" s="183" t="s">
        <v>222</v>
      </c>
      <c r="B74" s="183">
        <v>2</v>
      </c>
      <c r="C74" s="184">
        <v>1</v>
      </c>
      <c r="D74" s="184">
        <v>2</v>
      </c>
      <c r="E74" s="184">
        <v>2</v>
      </c>
      <c r="F74" s="184">
        <v>2.5</v>
      </c>
      <c r="G74" s="184">
        <v>2</v>
      </c>
      <c r="H74" s="184">
        <v>2</v>
      </c>
      <c r="I74" s="185"/>
      <c r="J74" s="184">
        <v>2</v>
      </c>
      <c r="K74" s="184">
        <v>2</v>
      </c>
      <c r="L74" s="184">
        <v>2</v>
      </c>
      <c r="M74" s="184">
        <v>0</v>
      </c>
      <c r="N74" s="184">
        <v>2</v>
      </c>
      <c r="O74" s="184">
        <v>2.5</v>
      </c>
      <c r="P74" s="184">
        <v>2</v>
      </c>
      <c r="Q74" s="185"/>
      <c r="R74" s="184">
        <v>2</v>
      </c>
      <c r="S74" s="184">
        <v>2</v>
      </c>
      <c r="T74" s="184">
        <v>2</v>
      </c>
      <c r="U74" s="184">
        <v>2.5</v>
      </c>
      <c r="V74" s="184">
        <v>2</v>
      </c>
      <c r="W74" s="184">
        <v>1</v>
      </c>
      <c r="X74" s="184">
        <v>2</v>
      </c>
      <c r="Y74" s="185"/>
      <c r="Z74" s="184"/>
      <c r="AA74" s="186"/>
      <c r="AB74" s="156"/>
      <c r="AC74" s="186"/>
      <c r="AE74" s="186"/>
    </row>
    <row r="75" spans="1:31" s="208" customFormat="1">
      <c r="A75" s="212" t="s">
        <v>223</v>
      </c>
      <c r="B75" s="213">
        <f t="shared" ref="B75:X75" si="26">+B72*B73*B74</f>
        <v>64</v>
      </c>
      <c r="C75" s="203">
        <f t="shared" si="26"/>
        <v>32</v>
      </c>
      <c r="D75" s="203">
        <f t="shared" si="26"/>
        <v>64</v>
      </c>
      <c r="E75" s="203">
        <f t="shared" si="26"/>
        <v>96</v>
      </c>
      <c r="F75" s="203">
        <f t="shared" si="26"/>
        <v>180</v>
      </c>
      <c r="G75" s="203">
        <f t="shared" si="26"/>
        <v>64</v>
      </c>
      <c r="H75" s="203">
        <f t="shared" si="26"/>
        <v>0</v>
      </c>
      <c r="I75" s="214"/>
      <c r="J75" s="203">
        <f t="shared" si="26"/>
        <v>192</v>
      </c>
      <c r="K75" s="203">
        <f t="shared" si="26"/>
        <v>64</v>
      </c>
      <c r="L75" s="203">
        <f t="shared" si="26"/>
        <v>64</v>
      </c>
      <c r="M75" s="203">
        <f t="shared" si="26"/>
        <v>0</v>
      </c>
      <c r="N75" s="203">
        <f t="shared" si="26"/>
        <v>64</v>
      </c>
      <c r="O75" s="203">
        <f t="shared" si="26"/>
        <v>180</v>
      </c>
      <c r="P75" s="203">
        <f t="shared" si="26"/>
        <v>64</v>
      </c>
      <c r="Q75" s="214"/>
      <c r="R75" s="203">
        <f t="shared" si="26"/>
        <v>64</v>
      </c>
      <c r="S75" s="203">
        <f t="shared" si="26"/>
        <v>96</v>
      </c>
      <c r="T75" s="203">
        <f t="shared" si="26"/>
        <v>0</v>
      </c>
      <c r="U75" s="203">
        <f t="shared" si="26"/>
        <v>180</v>
      </c>
      <c r="V75" s="203">
        <f t="shared" si="26"/>
        <v>64</v>
      </c>
      <c r="W75" s="203">
        <f t="shared" si="26"/>
        <v>32</v>
      </c>
      <c r="X75" s="203">
        <f t="shared" si="26"/>
        <v>64</v>
      </c>
      <c r="Y75" s="214"/>
      <c r="Z75" s="203"/>
      <c r="AA75" s="203"/>
      <c r="AB75" s="155"/>
      <c r="AC75" s="203"/>
      <c r="AE75" s="203"/>
    </row>
    <row r="76" spans="1:31" s="208" customFormat="1">
      <c r="A76" s="215"/>
      <c r="B76" s="216"/>
      <c r="C76" s="186"/>
      <c r="D76" s="186"/>
      <c r="E76" s="186"/>
      <c r="F76" s="186"/>
      <c r="G76" s="186"/>
      <c r="H76" s="186"/>
      <c r="I76" s="217"/>
      <c r="J76" s="186"/>
      <c r="K76" s="186"/>
      <c r="L76" s="186"/>
      <c r="M76" s="186"/>
      <c r="N76" s="186"/>
      <c r="O76" s="186"/>
      <c r="P76" s="186"/>
      <c r="Q76" s="217"/>
      <c r="R76" s="186"/>
      <c r="S76" s="186"/>
      <c r="T76" s="186"/>
      <c r="U76" s="186"/>
      <c r="V76" s="186"/>
      <c r="W76" s="186"/>
      <c r="X76" s="186"/>
      <c r="Y76" s="217"/>
      <c r="Z76" s="186"/>
      <c r="AA76" s="186"/>
      <c r="AB76" s="156"/>
      <c r="AC76" s="186"/>
      <c r="AE76" s="186"/>
    </row>
    <row r="77" spans="1:31">
      <c r="A77" s="199" t="s">
        <v>224</v>
      </c>
      <c r="B77" s="200"/>
      <c r="C77" s="201"/>
      <c r="D77" s="201"/>
      <c r="E77" s="201"/>
      <c r="F77" s="201"/>
      <c r="G77" s="201"/>
      <c r="H77" s="201"/>
      <c r="I77" s="202"/>
      <c r="J77" s="201"/>
      <c r="K77" s="201"/>
      <c r="L77" s="201"/>
      <c r="M77" s="201"/>
      <c r="N77" s="201"/>
      <c r="O77" s="201"/>
      <c r="P77" s="201"/>
      <c r="Q77" s="202"/>
      <c r="R77" s="201"/>
      <c r="S77" s="201"/>
      <c r="T77" s="201"/>
      <c r="U77" s="201"/>
      <c r="V77" s="201"/>
      <c r="W77" s="201"/>
      <c r="X77" s="201"/>
      <c r="Y77" s="202"/>
      <c r="Z77" s="201"/>
      <c r="AA77" s="203"/>
      <c r="AB77" s="156"/>
      <c r="AC77" s="203"/>
      <c r="AE77" s="203"/>
    </row>
    <row r="78" spans="1:31" s="208" customFormat="1">
      <c r="A78" s="204" t="s">
        <v>225</v>
      </c>
      <c r="B78" s="205">
        <v>12</v>
      </c>
      <c r="C78" s="206">
        <v>12</v>
      </c>
      <c r="D78" s="206">
        <v>12</v>
      </c>
      <c r="E78" s="206">
        <v>12</v>
      </c>
      <c r="F78" s="206">
        <v>12</v>
      </c>
      <c r="G78" s="206">
        <v>12</v>
      </c>
      <c r="H78" s="206">
        <v>12</v>
      </c>
      <c r="I78" s="207"/>
      <c r="J78" s="206">
        <v>12</v>
      </c>
      <c r="K78" s="206">
        <v>12</v>
      </c>
      <c r="L78" s="206">
        <v>12</v>
      </c>
      <c r="M78" s="206">
        <v>12</v>
      </c>
      <c r="N78" s="206">
        <v>12</v>
      </c>
      <c r="O78" s="206">
        <v>12</v>
      </c>
      <c r="P78" s="206">
        <v>12</v>
      </c>
      <c r="Q78" s="207"/>
      <c r="R78" s="206">
        <v>12</v>
      </c>
      <c r="S78" s="206">
        <v>12</v>
      </c>
      <c r="T78" s="206">
        <v>12</v>
      </c>
      <c r="U78" s="206">
        <v>12</v>
      </c>
      <c r="V78" s="206">
        <v>12</v>
      </c>
      <c r="W78" s="206">
        <v>12</v>
      </c>
      <c r="X78" s="206">
        <v>12</v>
      </c>
      <c r="Y78" s="207"/>
      <c r="Z78" s="206"/>
      <c r="AA78" s="203"/>
      <c r="AB78" s="156"/>
      <c r="AC78" s="203"/>
      <c r="AE78" s="203"/>
    </row>
    <row r="79" spans="1:31" s="208" customFormat="1">
      <c r="A79" s="204" t="s">
        <v>221</v>
      </c>
      <c r="B79" s="209">
        <f t="shared" ref="B79:X79" si="27">+B73+2</f>
        <v>6</v>
      </c>
      <c r="C79" s="210">
        <f t="shared" si="27"/>
        <v>6</v>
      </c>
      <c r="D79" s="210">
        <f t="shared" si="27"/>
        <v>6</v>
      </c>
      <c r="E79" s="210">
        <f t="shared" si="27"/>
        <v>8</v>
      </c>
      <c r="F79" s="210">
        <v>10</v>
      </c>
      <c r="G79" s="210">
        <f t="shared" si="27"/>
        <v>6</v>
      </c>
      <c r="H79" s="210">
        <v>0</v>
      </c>
      <c r="I79" s="211"/>
      <c r="J79" s="210">
        <v>16</v>
      </c>
      <c r="K79" s="210">
        <f t="shared" si="27"/>
        <v>6</v>
      </c>
      <c r="L79" s="210">
        <f t="shared" si="27"/>
        <v>6</v>
      </c>
      <c r="M79" s="210">
        <v>0</v>
      </c>
      <c r="N79" s="210">
        <f t="shared" si="27"/>
        <v>6</v>
      </c>
      <c r="O79" s="210">
        <v>10</v>
      </c>
      <c r="P79" s="210">
        <f t="shared" si="27"/>
        <v>6</v>
      </c>
      <c r="Q79" s="211"/>
      <c r="R79" s="210">
        <f t="shared" si="27"/>
        <v>6</v>
      </c>
      <c r="S79" s="210">
        <f t="shared" si="27"/>
        <v>8</v>
      </c>
      <c r="T79" s="210">
        <v>0</v>
      </c>
      <c r="U79" s="210">
        <v>10</v>
      </c>
      <c r="V79" s="210">
        <f t="shared" si="27"/>
        <v>6</v>
      </c>
      <c r="W79" s="210">
        <f t="shared" si="27"/>
        <v>6</v>
      </c>
      <c r="X79" s="210">
        <f t="shared" si="27"/>
        <v>6</v>
      </c>
      <c r="Y79" s="211"/>
      <c r="Z79" s="210"/>
      <c r="AA79" s="203"/>
      <c r="AB79" s="156"/>
      <c r="AC79" s="203"/>
      <c r="AE79" s="203"/>
    </row>
    <row r="80" spans="1:31" s="208" customFormat="1">
      <c r="A80" s="212" t="s">
        <v>226</v>
      </c>
      <c r="B80" s="213">
        <f t="shared" ref="B80:X80" si="28">+B78*B79</f>
        <v>72</v>
      </c>
      <c r="C80" s="203">
        <f t="shared" si="28"/>
        <v>72</v>
      </c>
      <c r="D80" s="203">
        <f t="shared" si="28"/>
        <v>72</v>
      </c>
      <c r="E80" s="203">
        <f t="shared" si="28"/>
        <v>96</v>
      </c>
      <c r="F80" s="203">
        <f t="shared" si="28"/>
        <v>120</v>
      </c>
      <c r="G80" s="203">
        <f t="shared" si="28"/>
        <v>72</v>
      </c>
      <c r="H80" s="203">
        <f t="shared" si="28"/>
        <v>0</v>
      </c>
      <c r="I80" s="214"/>
      <c r="J80" s="203">
        <f t="shared" si="28"/>
        <v>192</v>
      </c>
      <c r="K80" s="203">
        <f t="shared" si="28"/>
        <v>72</v>
      </c>
      <c r="L80" s="203">
        <f t="shared" si="28"/>
        <v>72</v>
      </c>
      <c r="M80" s="203">
        <f t="shared" si="28"/>
        <v>0</v>
      </c>
      <c r="N80" s="203">
        <f t="shared" si="28"/>
        <v>72</v>
      </c>
      <c r="O80" s="203">
        <f t="shared" si="28"/>
        <v>120</v>
      </c>
      <c r="P80" s="203">
        <f t="shared" si="28"/>
        <v>72</v>
      </c>
      <c r="Q80" s="214"/>
      <c r="R80" s="203">
        <f t="shared" si="28"/>
        <v>72</v>
      </c>
      <c r="S80" s="203">
        <f t="shared" si="28"/>
        <v>96</v>
      </c>
      <c r="T80" s="203">
        <f t="shared" si="28"/>
        <v>0</v>
      </c>
      <c r="U80" s="203">
        <f t="shared" si="28"/>
        <v>120</v>
      </c>
      <c r="V80" s="203">
        <f t="shared" si="28"/>
        <v>72</v>
      </c>
      <c r="W80" s="203">
        <f t="shared" si="28"/>
        <v>72</v>
      </c>
      <c r="X80" s="203">
        <f t="shared" si="28"/>
        <v>72</v>
      </c>
      <c r="Y80" s="214"/>
      <c r="Z80" s="203"/>
      <c r="AA80" s="203"/>
      <c r="AB80" s="155"/>
      <c r="AC80" s="203"/>
      <c r="AE80" s="203"/>
    </row>
    <row r="81" spans="1:31" s="208" customFormat="1">
      <c r="A81" s="212"/>
      <c r="B81" s="213"/>
      <c r="C81" s="203"/>
      <c r="D81" s="203"/>
      <c r="E81" s="203"/>
      <c r="F81" s="203"/>
      <c r="G81" s="203"/>
      <c r="H81" s="203"/>
      <c r="I81" s="214"/>
      <c r="J81" s="203"/>
      <c r="K81" s="203"/>
      <c r="L81" s="203"/>
      <c r="M81" s="203"/>
      <c r="N81" s="203"/>
      <c r="O81" s="203"/>
      <c r="P81" s="203"/>
      <c r="Q81" s="214"/>
      <c r="R81" s="203"/>
      <c r="S81" s="203"/>
      <c r="T81" s="203"/>
      <c r="U81" s="203"/>
      <c r="V81" s="203"/>
      <c r="W81" s="203"/>
      <c r="X81" s="203"/>
      <c r="Y81" s="214"/>
      <c r="Z81" s="203"/>
      <c r="AA81" s="203"/>
      <c r="AB81" s="155"/>
      <c r="AC81" s="203"/>
      <c r="AE81" s="203"/>
    </row>
    <row r="82" spans="1:31" s="208" customFormat="1" ht="13.5" thickBot="1">
      <c r="A82" s="218" t="s">
        <v>227</v>
      </c>
      <c r="B82" s="228">
        <f t="shared" ref="B82:X82" si="29">+B75+B80</f>
        <v>136</v>
      </c>
      <c r="C82" s="229">
        <f t="shared" si="29"/>
        <v>104</v>
      </c>
      <c r="D82" s="229">
        <f t="shared" si="29"/>
        <v>136</v>
      </c>
      <c r="E82" s="229">
        <f t="shared" si="29"/>
        <v>192</v>
      </c>
      <c r="F82" s="229">
        <f t="shared" si="29"/>
        <v>300</v>
      </c>
      <c r="G82" s="229">
        <f t="shared" si="29"/>
        <v>136</v>
      </c>
      <c r="H82" s="229">
        <f t="shared" si="29"/>
        <v>0</v>
      </c>
      <c r="I82" s="230"/>
      <c r="J82" s="229">
        <f t="shared" si="29"/>
        <v>384</v>
      </c>
      <c r="K82" s="229">
        <f t="shared" si="29"/>
        <v>136</v>
      </c>
      <c r="L82" s="229">
        <f t="shared" si="29"/>
        <v>136</v>
      </c>
      <c r="M82" s="229">
        <f t="shared" si="29"/>
        <v>0</v>
      </c>
      <c r="N82" s="229">
        <f t="shared" si="29"/>
        <v>136</v>
      </c>
      <c r="O82" s="229">
        <f t="shared" si="29"/>
        <v>300</v>
      </c>
      <c r="P82" s="229">
        <f t="shared" si="29"/>
        <v>136</v>
      </c>
      <c r="Q82" s="230"/>
      <c r="R82" s="229">
        <f t="shared" si="29"/>
        <v>136</v>
      </c>
      <c r="S82" s="229">
        <f t="shared" si="29"/>
        <v>192</v>
      </c>
      <c r="T82" s="229">
        <f t="shared" si="29"/>
        <v>0</v>
      </c>
      <c r="U82" s="229">
        <f t="shared" si="29"/>
        <v>300</v>
      </c>
      <c r="V82" s="229">
        <f t="shared" si="29"/>
        <v>136</v>
      </c>
      <c r="W82" s="229">
        <f t="shared" si="29"/>
        <v>104</v>
      </c>
      <c r="X82" s="229">
        <f t="shared" si="29"/>
        <v>136</v>
      </c>
      <c r="Y82" s="230"/>
      <c r="Z82" s="385"/>
      <c r="AA82" s="222"/>
      <c r="AB82" s="156"/>
      <c r="AC82" s="186"/>
      <c r="AE82" s="186"/>
    </row>
    <row r="83" spans="1:31" s="208" customFormat="1">
      <c r="A83" s="216"/>
      <c r="B83" s="216"/>
      <c r="C83" s="186"/>
      <c r="D83" s="186"/>
      <c r="E83" s="186"/>
      <c r="F83" s="186"/>
      <c r="G83" s="186"/>
      <c r="H83" s="186"/>
      <c r="I83" s="217"/>
      <c r="J83" s="186"/>
      <c r="K83" s="186"/>
      <c r="L83" s="186"/>
      <c r="M83" s="186"/>
      <c r="N83" s="186"/>
      <c r="O83" s="186"/>
      <c r="P83" s="186"/>
      <c r="Q83" s="217"/>
      <c r="R83" s="186"/>
      <c r="S83" s="186"/>
      <c r="T83" s="186"/>
      <c r="U83" s="186"/>
      <c r="V83" s="186"/>
      <c r="W83" s="186"/>
      <c r="X83" s="186"/>
      <c r="Y83" s="186"/>
      <c r="Z83" s="186"/>
      <c r="AA83" s="186"/>
      <c r="AB83" s="156"/>
      <c r="AC83" s="186"/>
      <c r="AE83" s="186"/>
    </row>
    <row r="84" spans="1:31" s="208" customFormat="1">
      <c r="A84" s="216"/>
      <c r="B84" s="216"/>
      <c r="C84" s="186"/>
      <c r="D84" s="186"/>
      <c r="E84" s="186"/>
      <c r="F84" s="186"/>
      <c r="G84" s="186"/>
      <c r="H84" s="186"/>
      <c r="I84" s="217"/>
      <c r="J84" s="186"/>
      <c r="K84" s="186"/>
      <c r="L84" s="186"/>
      <c r="M84" s="186"/>
      <c r="N84" s="186"/>
      <c r="O84" s="186"/>
      <c r="P84" s="186"/>
      <c r="Q84" s="217"/>
      <c r="R84" s="186"/>
      <c r="S84" s="186"/>
      <c r="T84" s="186"/>
      <c r="U84" s="186"/>
      <c r="V84" s="186"/>
      <c r="W84" s="186"/>
      <c r="X84" s="186"/>
      <c r="Y84" s="186"/>
      <c r="Z84" s="186"/>
      <c r="AA84" s="186"/>
      <c r="AB84" s="156"/>
      <c r="AC84" s="186"/>
      <c r="AE84" s="186"/>
    </row>
    <row r="85" spans="1:31">
      <c r="A85" s="199" t="s">
        <v>228</v>
      </c>
      <c r="B85" s="200"/>
      <c r="C85" s="201"/>
      <c r="D85" s="201"/>
      <c r="E85" s="201"/>
      <c r="F85" s="201"/>
      <c r="G85" s="201"/>
      <c r="H85" s="201"/>
      <c r="I85" s="202"/>
      <c r="J85" s="201"/>
      <c r="K85" s="201"/>
      <c r="L85" s="201"/>
      <c r="M85" s="201"/>
      <c r="N85" s="201"/>
      <c r="O85" s="201"/>
      <c r="P85" s="201"/>
      <c r="Q85" s="202"/>
      <c r="R85" s="201"/>
      <c r="S85" s="201"/>
      <c r="T85" s="201"/>
      <c r="U85" s="201"/>
      <c r="V85" s="201"/>
      <c r="W85" s="201"/>
      <c r="X85" s="201"/>
      <c r="Y85" s="201"/>
      <c r="Z85" s="201"/>
      <c r="AA85" s="203"/>
      <c r="AB85" s="156"/>
      <c r="AC85" s="203"/>
      <c r="AE85" s="203"/>
    </row>
    <row r="86" spans="1:31" s="208" customFormat="1">
      <c r="A86" s="204" t="s">
        <v>220</v>
      </c>
      <c r="B86" s="205">
        <v>10</v>
      </c>
      <c r="C86" s="206">
        <v>10</v>
      </c>
      <c r="D86" s="206">
        <v>10</v>
      </c>
      <c r="E86" s="206">
        <v>10</v>
      </c>
      <c r="F86" s="206">
        <v>10</v>
      </c>
      <c r="G86" s="206">
        <v>10</v>
      </c>
      <c r="H86" s="206">
        <v>10</v>
      </c>
      <c r="I86" s="207"/>
      <c r="J86" s="206">
        <v>10</v>
      </c>
      <c r="K86" s="206">
        <v>10</v>
      </c>
      <c r="L86" s="206">
        <v>10</v>
      </c>
      <c r="M86" s="206">
        <v>0</v>
      </c>
      <c r="N86" s="206">
        <v>10</v>
      </c>
      <c r="O86" s="206">
        <v>10</v>
      </c>
      <c r="P86" s="206">
        <v>10</v>
      </c>
      <c r="Q86" s="207"/>
      <c r="R86" s="206">
        <v>10</v>
      </c>
      <c r="S86" s="206">
        <v>10</v>
      </c>
      <c r="T86" s="206">
        <v>10</v>
      </c>
      <c r="U86" s="206">
        <v>10</v>
      </c>
      <c r="V86" s="206">
        <v>10</v>
      </c>
      <c r="W86" s="206">
        <v>10</v>
      </c>
      <c r="X86" s="206">
        <v>10</v>
      </c>
      <c r="Y86" s="206"/>
      <c r="Z86" s="206"/>
      <c r="AA86" s="203"/>
      <c r="AB86" s="156"/>
      <c r="AC86" s="203"/>
      <c r="AE86" s="203"/>
    </row>
    <row r="87" spans="1:31" s="208" customFormat="1">
      <c r="A87" s="204" t="s">
        <v>221</v>
      </c>
      <c r="B87" s="209">
        <v>12.5</v>
      </c>
      <c r="C87" s="210">
        <v>20</v>
      </c>
      <c r="D87" s="210">
        <v>20</v>
      </c>
      <c r="E87" s="210">
        <v>10</v>
      </c>
      <c r="F87" s="210">
        <v>10</v>
      </c>
      <c r="G87" s="210">
        <v>10</v>
      </c>
      <c r="H87" s="210">
        <v>10</v>
      </c>
      <c r="I87" s="211"/>
      <c r="J87" s="210">
        <v>10</v>
      </c>
      <c r="K87" s="210">
        <v>20</v>
      </c>
      <c r="L87" s="210">
        <v>13</v>
      </c>
      <c r="M87" s="210">
        <v>0</v>
      </c>
      <c r="N87" s="210">
        <v>10</v>
      </c>
      <c r="O87" s="210">
        <v>10</v>
      </c>
      <c r="P87" s="210">
        <v>10</v>
      </c>
      <c r="Q87" s="211"/>
      <c r="R87" s="210">
        <v>10</v>
      </c>
      <c r="S87" s="210">
        <v>10</v>
      </c>
      <c r="T87" s="210">
        <v>10</v>
      </c>
      <c r="U87" s="210">
        <v>10</v>
      </c>
      <c r="V87" s="210">
        <v>10</v>
      </c>
      <c r="W87" s="210">
        <v>10</v>
      </c>
      <c r="X87" s="210">
        <v>10</v>
      </c>
      <c r="Y87" s="210"/>
      <c r="Z87" s="210"/>
      <c r="AA87" s="219"/>
      <c r="AB87" s="156"/>
      <c r="AC87" s="203"/>
      <c r="AE87" s="203"/>
    </row>
    <row r="88" spans="1:31" s="208" customFormat="1" ht="14.25" customHeight="1">
      <c r="A88" s="183" t="s">
        <v>222</v>
      </c>
      <c r="B88" s="183">
        <v>2</v>
      </c>
      <c r="C88" s="184">
        <v>2</v>
      </c>
      <c r="D88" s="184">
        <v>2</v>
      </c>
      <c r="E88" s="184">
        <v>2</v>
      </c>
      <c r="F88" s="184">
        <v>2</v>
      </c>
      <c r="G88" s="184">
        <v>2</v>
      </c>
      <c r="H88" s="184">
        <v>2</v>
      </c>
      <c r="I88" s="185"/>
      <c r="J88" s="184">
        <v>2</v>
      </c>
      <c r="K88" s="184">
        <v>2</v>
      </c>
      <c r="L88" s="184">
        <v>2</v>
      </c>
      <c r="M88" s="184">
        <v>0</v>
      </c>
      <c r="N88" s="184">
        <v>2</v>
      </c>
      <c r="O88" s="184">
        <v>2</v>
      </c>
      <c r="P88" s="184">
        <v>2</v>
      </c>
      <c r="Q88" s="185"/>
      <c r="R88" s="184">
        <v>2</v>
      </c>
      <c r="S88" s="184">
        <v>2</v>
      </c>
      <c r="T88" s="184">
        <v>2</v>
      </c>
      <c r="U88" s="184">
        <v>2</v>
      </c>
      <c r="V88" s="184">
        <v>2</v>
      </c>
      <c r="W88" s="184">
        <v>2</v>
      </c>
      <c r="X88" s="184">
        <v>2</v>
      </c>
      <c r="Y88" s="184"/>
      <c r="Z88" s="184"/>
      <c r="AA88" s="186"/>
      <c r="AB88" s="156"/>
      <c r="AC88" s="186"/>
      <c r="AE88" s="186"/>
    </row>
    <row r="89" spans="1:31" s="208" customFormat="1">
      <c r="A89" s="212" t="s">
        <v>223</v>
      </c>
      <c r="B89" s="213">
        <f t="shared" ref="B89:X89" si="30">+B86*B87*B88</f>
        <v>250</v>
      </c>
      <c r="C89" s="203">
        <f t="shared" si="30"/>
        <v>400</v>
      </c>
      <c r="D89" s="203">
        <f t="shared" si="30"/>
        <v>400</v>
      </c>
      <c r="E89" s="203">
        <f t="shared" si="30"/>
        <v>200</v>
      </c>
      <c r="F89" s="203">
        <f t="shared" si="30"/>
        <v>200</v>
      </c>
      <c r="G89" s="203">
        <f t="shared" si="30"/>
        <v>200</v>
      </c>
      <c r="H89" s="203">
        <f t="shared" si="30"/>
        <v>200</v>
      </c>
      <c r="I89" s="214"/>
      <c r="J89" s="203">
        <f t="shared" si="30"/>
        <v>200</v>
      </c>
      <c r="K89" s="203">
        <f t="shared" si="30"/>
        <v>400</v>
      </c>
      <c r="L89" s="203">
        <f t="shared" si="30"/>
        <v>260</v>
      </c>
      <c r="M89" s="203">
        <f t="shared" si="30"/>
        <v>0</v>
      </c>
      <c r="N89" s="203">
        <f t="shared" si="30"/>
        <v>200</v>
      </c>
      <c r="O89" s="203">
        <f t="shared" si="30"/>
        <v>200</v>
      </c>
      <c r="P89" s="203">
        <f t="shared" si="30"/>
        <v>200</v>
      </c>
      <c r="Q89" s="214"/>
      <c r="R89" s="203">
        <f t="shared" si="30"/>
        <v>200</v>
      </c>
      <c r="S89" s="203">
        <f t="shared" si="30"/>
        <v>200</v>
      </c>
      <c r="T89" s="203">
        <f t="shared" si="30"/>
        <v>200</v>
      </c>
      <c r="U89" s="203">
        <f t="shared" si="30"/>
        <v>200</v>
      </c>
      <c r="V89" s="203">
        <f t="shared" si="30"/>
        <v>200</v>
      </c>
      <c r="W89" s="203">
        <f t="shared" si="30"/>
        <v>200</v>
      </c>
      <c r="X89" s="203">
        <f t="shared" si="30"/>
        <v>200</v>
      </c>
      <c r="Y89" s="203"/>
      <c r="Z89" s="203"/>
      <c r="AA89" s="203"/>
      <c r="AB89" s="155"/>
      <c r="AC89" s="203"/>
      <c r="AE89" s="203"/>
    </row>
    <row r="90" spans="1:31" s="208" customFormat="1">
      <c r="A90" s="215"/>
      <c r="B90" s="216"/>
      <c r="C90" s="186"/>
      <c r="D90" s="186"/>
      <c r="E90" s="186"/>
      <c r="F90" s="186"/>
      <c r="G90" s="186"/>
      <c r="H90" s="186"/>
      <c r="I90" s="217"/>
      <c r="J90" s="186"/>
      <c r="K90" s="186"/>
      <c r="L90" s="186"/>
      <c r="M90" s="186"/>
      <c r="N90" s="186"/>
      <c r="O90" s="186"/>
      <c r="P90" s="186"/>
      <c r="Q90" s="217"/>
      <c r="R90" s="186"/>
      <c r="S90" s="186"/>
      <c r="T90" s="186"/>
      <c r="U90" s="186"/>
      <c r="V90" s="186"/>
      <c r="W90" s="186"/>
      <c r="X90" s="186"/>
      <c r="Y90" s="186"/>
      <c r="Z90" s="186"/>
      <c r="AA90" s="186"/>
      <c r="AB90" s="156"/>
      <c r="AC90" s="186"/>
      <c r="AE90" s="186"/>
    </row>
    <row r="91" spans="1:31" s="208" customFormat="1" ht="13.5" thickBot="1">
      <c r="A91" s="218" t="s">
        <v>229</v>
      </c>
      <c r="B91" s="228">
        <f t="shared" ref="B91:X91" si="31">+B89</f>
        <v>250</v>
      </c>
      <c r="C91" s="229">
        <f t="shared" si="31"/>
        <v>400</v>
      </c>
      <c r="D91" s="229">
        <f t="shared" si="31"/>
        <v>400</v>
      </c>
      <c r="E91" s="229">
        <f t="shared" si="31"/>
        <v>200</v>
      </c>
      <c r="F91" s="229">
        <f t="shared" si="31"/>
        <v>200</v>
      </c>
      <c r="G91" s="229">
        <f t="shared" si="31"/>
        <v>200</v>
      </c>
      <c r="H91" s="229">
        <f t="shared" si="31"/>
        <v>200</v>
      </c>
      <c r="I91" s="230"/>
      <c r="J91" s="229">
        <f t="shared" si="31"/>
        <v>200</v>
      </c>
      <c r="K91" s="229">
        <f t="shared" si="31"/>
        <v>400</v>
      </c>
      <c r="L91" s="229">
        <f t="shared" si="31"/>
        <v>260</v>
      </c>
      <c r="M91" s="229">
        <f t="shared" si="31"/>
        <v>0</v>
      </c>
      <c r="N91" s="229">
        <f t="shared" si="31"/>
        <v>200</v>
      </c>
      <c r="O91" s="229">
        <f t="shared" si="31"/>
        <v>200</v>
      </c>
      <c r="P91" s="229">
        <f t="shared" si="31"/>
        <v>200</v>
      </c>
      <c r="Q91" s="230"/>
      <c r="R91" s="229">
        <f t="shared" si="31"/>
        <v>200</v>
      </c>
      <c r="S91" s="229">
        <f t="shared" si="31"/>
        <v>200</v>
      </c>
      <c r="T91" s="229">
        <f t="shared" si="31"/>
        <v>200</v>
      </c>
      <c r="U91" s="229">
        <f t="shared" si="31"/>
        <v>200</v>
      </c>
      <c r="V91" s="229">
        <f t="shared" si="31"/>
        <v>200</v>
      </c>
      <c r="W91" s="229">
        <f t="shared" si="31"/>
        <v>200</v>
      </c>
      <c r="X91" s="229">
        <f t="shared" si="31"/>
        <v>200</v>
      </c>
      <c r="Y91" s="229"/>
      <c r="Z91" s="385"/>
      <c r="AA91" s="222"/>
      <c r="AB91" s="156"/>
      <c r="AC91" s="186"/>
      <c r="AE91" s="186"/>
    </row>
    <row r="92" spans="1:31" s="208" customFormat="1">
      <c r="A92" s="220"/>
      <c r="B92" s="221"/>
      <c r="C92" s="222"/>
      <c r="D92" s="222"/>
      <c r="E92" s="222"/>
      <c r="F92" s="222"/>
      <c r="G92" s="222"/>
      <c r="H92" s="222"/>
      <c r="I92" s="223"/>
      <c r="J92" s="222"/>
      <c r="K92" s="222"/>
      <c r="L92" s="222"/>
      <c r="M92" s="222"/>
      <c r="N92" s="222"/>
      <c r="O92" s="222"/>
      <c r="P92" s="222"/>
      <c r="Q92" s="223"/>
      <c r="R92" s="222"/>
      <c r="S92" s="222"/>
      <c r="T92" s="222"/>
      <c r="U92" s="222"/>
      <c r="V92" s="222"/>
      <c r="W92" s="222"/>
      <c r="X92" s="222"/>
      <c r="Y92" s="222"/>
      <c r="Z92" s="222"/>
      <c r="AA92" s="222"/>
      <c r="AB92" s="155"/>
      <c r="AC92" s="186"/>
      <c r="AE92" s="186"/>
    </row>
    <row r="93" spans="1:31" s="208" customFormat="1">
      <c r="A93" s="220" t="s">
        <v>202</v>
      </c>
      <c r="B93" s="221"/>
      <c r="C93" s="222"/>
      <c r="D93" s="222"/>
      <c r="E93" s="222"/>
      <c r="F93" s="222"/>
      <c r="G93" s="222"/>
      <c r="H93" s="222">
        <v>2100</v>
      </c>
      <c r="I93" s="223"/>
      <c r="J93" s="222"/>
      <c r="K93" s="222"/>
      <c r="L93" s="222"/>
      <c r="M93" s="222"/>
      <c r="N93" s="222"/>
      <c r="O93" s="222"/>
      <c r="P93" s="222">
        <v>1800</v>
      </c>
      <c r="Q93" s="223"/>
      <c r="R93" s="222"/>
      <c r="S93" s="222"/>
      <c r="T93" s="222"/>
      <c r="U93" s="222"/>
      <c r="V93" s="222"/>
      <c r="W93" s="222"/>
      <c r="X93" s="222"/>
      <c r="Y93" s="222"/>
      <c r="Z93" s="222"/>
      <c r="AA93" s="222"/>
      <c r="AB93" s="155"/>
      <c r="AC93" s="186"/>
      <c r="AE93" s="186"/>
    </row>
    <row r="94" spans="1:31" s="208" customFormat="1">
      <c r="A94" s="224" t="s">
        <v>230</v>
      </c>
      <c r="B94" s="225">
        <v>0.5</v>
      </c>
      <c r="C94" s="226">
        <v>0.5</v>
      </c>
      <c r="D94" s="226">
        <v>0.5</v>
      </c>
      <c r="E94" s="226">
        <v>0.5</v>
      </c>
      <c r="F94" s="226">
        <v>0.5</v>
      </c>
      <c r="G94" s="226">
        <v>0.5</v>
      </c>
      <c r="H94" s="226">
        <v>0.5</v>
      </c>
      <c r="I94" s="227"/>
      <c r="J94" s="226">
        <v>0.5</v>
      </c>
      <c r="K94" s="226">
        <v>0.5</v>
      </c>
      <c r="L94" s="226">
        <v>0.5</v>
      </c>
      <c r="M94" s="233">
        <v>0</v>
      </c>
      <c r="N94" s="226">
        <v>0.5</v>
      </c>
      <c r="O94" s="226">
        <v>0.5</v>
      </c>
      <c r="P94" s="226">
        <v>0.5</v>
      </c>
      <c r="Q94" s="227"/>
      <c r="R94" s="226">
        <v>0.5</v>
      </c>
      <c r="S94" s="226">
        <v>0.5</v>
      </c>
      <c r="T94" s="226">
        <v>0.5</v>
      </c>
      <c r="U94" s="226">
        <v>0.5</v>
      </c>
      <c r="V94" s="226">
        <v>0.5</v>
      </c>
      <c r="W94" s="226">
        <v>0.5</v>
      </c>
      <c r="X94" s="226">
        <v>0.5</v>
      </c>
      <c r="Y94" s="226"/>
      <c r="Z94" s="226"/>
      <c r="AA94" s="222"/>
      <c r="AB94" s="155"/>
      <c r="AC94" s="186"/>
      <c r="AE94" s="186"/>
    </row>
    <row r="95" spans="1:31" s="208" customFormat="1">
      <c r="A95" s="224" t="s">
        <v>225</v>
      </c>
      <c r="B95" s="221">
        <v>200</v>
      </c>
      <c r="C95" s="222">
        <v>200</v>
      </c>
      <c r="D95" s="222">
        <v>200</v>
      </c>
      <c r="E95" s="222">
        <v>200</v>
      </c>
      <c r="F95" s="222">
        <v>200</v>
      </c>
      <c r="G95" s="222">
        <v>200</v>
      </c>
      <c r="H95" s="222">
        <v>200</v>
      </c>
      <c r="I95" s="223"/>
      <c r="J95" s="222">
        <v>200</v>
      </c>
      <c r="K95" s="222">
        <v>200</v>
      </c>
      <c r="L95" s="222">
        <v>200</v>
      </c>
      <c r="M95" s="233">
        <v>0</v>
      </c>
      <c r="N95" s="222">
        <v>200</v>
      </c>
      <c r="O95" s="222">
        <v>200</v>
      </c>
      <c r="P95" s="222">
        <v>200</v>
      </c>
      <c r="Q95" s="223"/>
      <c r="R95" s="222">
        <v>200</v>
      </c>
      <c r="S95" s="222">
        <v>200</v>
      </c>
      <c r="T95" s="222">
        <v>200</v>
      </c>
      <c r="U95" s="222">
        <v>200</v>
      </c>
      <c r="V95" s="222">
        <v>200</v>
      </c>
      <c r="W95" s="222">
        <v>200</v>
      </c>
      <c r="X95" s="222">
        <v>200</v>
      </c>
      <c r="Y95" s="222"/>
      <c r="Z95" s="222"/>
      <c r="AA95" s="222"/>
      <c r="AB95" s="155"/>
      <c r="AC95" s="186"/>
      <c r="AE95" s="186"/>
    </row>
    <row r="96" spans="1:31" s="208" customFormat="1" ht="13.5" thickBot="1">
      <c r="A96" s="218" t="s">
        <v>231</v>
      </c>
      <c r="B96" s="228">
        <f t="shared" ref="B96:X96" si="32">+B94*B95</f>
        <v>100</v>
      </c>
      <c r="C96" s="229">
        <f t="shared" si="32"/>
        <v>100</v>
      </c>
      <c r="D96" s="229">
        <f t="shared" si="32"/>
        <v>100</v>
      </c>
      <c r="E96" s="229">
        <f t="shared" si="32"/>
        <v>100</v>
      </c>
      <c r="F96" s="229">
        <f t="shared" si="32"/>
        <v>100</v>
      </c>
      <c r="G96" s="229">
        <f t="shared" si="32"/>
        <v>100</v>
      </c>
      <c r="H96" s="229">
        <f t="shared" si="32"/>
        <v>100</v>
      </c>
      <c r="I96" s="230"/>
      <c r="J96" s="229">
        <f t="shared" si="32"/>
        <v>100</v>
      </c>
      <c r="K96" s="229">
        <f t="shared" si="32"/>
        <v>100</v>
      </c>
      <c r="L96" s="229">
        <f t="shared" si="32"/>
        <v>100</v>
      </c>
      <c r="M96" s="229">
        <f t="shared" si="32"/>
        <v>0</v>
      </c>
      <c r="N96" s="229">
        <f t="shared" si="32"/>
        <v>100</v>
      </c>
      <c r="O96" s="229">
        <f t="shared" si="32"/>
        <v>100</v>
      </c>
      <c r="P96" s="229">
        <f t="shared" si="32"/>
        <v>100</v>
      </c>
      <c r="Q96" s="230"/>
      <c r="R96" s="229">
        <f t="shared" si="32"/>
        <v>100</v>
      </c>
      <c r="S96" s="229">
        <f t="shared" si="32"/>
        <v>100</v>
      </c>
      <c r="T96" s="229">
        <f t="shared" si="32"/>
        <v>100</v>
      </c>
      <c r="U96" s="229">
        <f t="shared" si="32"/>
        <v>100</v>
      </c>
      <c r="V96" s="229">
        <f t="shared" si="32"/>
        <v>100</v>
      </c>
      <c r="W96" s="229">
        <f t="shared" si="32"/>
        <v>100</v>
      </c>
      <c r="X96" s="229">
        <f t="shared" si="32"/>
        <v>100</v>
      </c>
      <c r="Y96" s="229"/>
      <c r="Z96" s="385"/>
      <c r="AA96" s="222"/>
      <c r="AB96" s="156"/>
      <c r="AC96" s="186"/>
      <c r="AE96" s="186"/>
    </row>
    <row r="97" spans="1:31" s="208" customFormat="1">
      <c r="A97" s="220"/>
      <c r="B97" s="221"/>
      <c r="C97" s="222"/>
      <c r="D97" s="222"/>
      <c r="E97" s="222"/>
      <c r="F97" s="222"/>
      <c r="G97" s="222"/>
      <c r="H97" s="222"/>
      <c r="I97" s="223"/>
      <c r="J97" s="222"/>
      <c r="K97" s="222"/>
      <c r="L97" s="222"/>
      <c r="M97" s="222"/>
      <c r="N97" s="222"/>
      <c r="O97" s="222"/>
      <c r="P97" s="222"/>
      <c r="Q97" s="223"/>
      <c r="R97" s="222"/>
      <c r="S97" s="222"/>
      <c r="T97" s="222"/>
      <c r="U97" s="222"/>
      <c r="V97" s="222"/>
      <c r="W97" s="222"/>
      <c r="X97" s="222"/>
      <c r="Y97" s="222"/>
      <c r="Z97" s="222"/>
      <c r="AA97" s="222"/>
      <c r="AB97" s="155"/>
      <c r="AC97" s="186"/>
      <c r="AE97" s="186"/>
    </row>
    <row r="98" spans="1:31" s="208" customFormat="1">
      <c r="A98" s="220"/>
      <c r="B98" s="221"/>
      <c r="C98" s="222"/>
      <c r="D98" s="222"/>
      <c r="E98" s="222"/>
      <c r="F98" s="222"/>
      <c r="G98" s="222"/>
      <c r="H98" s="222"/>
      <c r="I98" s="223"/>
      <c r="J98" s="222"/>
      <c r="K98" s="222"/>
      <c r="L98" s="222"/>
      <c r="M98" s="222"/>
      <c r="N98" s="222"/>
      <c r="O98" s="222"/>
      <c r="P98" s="222"/>
      <c r="Q98" s="223"/>
      <c r="R98" s="222"/>
      <c r="S98" s="222"/>
      <c r="T98" s="222"/>
      <c r="U98" s="222"/>
      <c r="V98" s="222"/>
      <c r="W98" s="222"/>
      <c r="X98" s="222"/>
      <c r="Y98" s="222"/>
      <c r="Z98" s="222"/>
      <c r="AA98" s="222"/>
      <c r="AB98" s="155"/>
      <c r="AC98" s="186"/>
      <c r="AE98" s="186"/>
    </row>
    <row r="99" spans="1:31" s="208" customFormat="1">
      <c r="A99" s="220" t="s">
        <v>204</v>
      </c>
      <c r="B99" s="221"/>
      <c r="C99" s="222"/>
      <c r="D99" s="222"/>
      <c r="E99" s="222"/>
      <c r="F99" s="222"/>
      <c r="G99" s="222"/>
      <c r="H99" s="222"/>
      <c r="I99" s="223"/>
      <c r="J99" s="222"/>
      <c r="K99" s="222"/>
      <c r="L99" s="222"/>
      <c r="M99" s="222"/>
      <c r="N99" s="222"/>
      <c r="O99" s="222"/>
      <c r="P99" s="222"/>
      <c r="Q99" s="223"/>
      <c r="R99" s="222"/>
      <c r="S99" s="222"/>
      <c r="T99" s="222"/>
      <c r="U99" s="222"/>
      <c r="V99" s="222"/>
      <c r="W99" s="222"/>
      <c r="X99" s="222"/>
      <c r="Y99" s="222"/>
      <c r="Z99" s="222"/>
      <c r="AA99" s="222"/>
      <c r="AB99" s="155"/>
      <c r="AC99" s="186"/>
      <c r="AE99" s="186"/>
    </row>
    <row r="100" spans="1:31" s="208" customFormat="1">
      <c r="A100" s="224" t="s">
        <v>230</v>
      </c>
      <c r="B100" s="225">
        <v>0.5</v>
      </c>
      <c r="C100" s="226">
        <v>0.5</v>
      </c>
      <c r="D100" s="226">
        <v>0.5</v>
      </c>
      <c r="E100" s="226">
        <v>0.5</v>
      </c>
      <c r="F100" s="226">
        <v>0.5</v>
      </c>
      <c r="G100" s="226">
        <v>0.5</v>
      </c>
      <c r="H100" s="226">
        <v>0.5</v>
      </c>
      <c r="I100" s="227"/>
      <c r="J100" s="226">
        <v>0.5</v>
      </c>
      <c r="K100" s="226">
        <v>0.5</v>
      </c>
      <c r="L100" s="226">
        <v>0.5</v>
      </c>
      <c r="M100" s="233">
        <v>0</v>
      </c>
      <c r="N100" s="226">
        <v>0.5</v>
      </c>
      <c r="O100" s="226">
        <v>0.5</v>
      </c>
      <c r="P100" s="226">
        <v>0.5</v>
      </c>
      <c r="Q100" s="227"/>
      <c r="R100" s="226">
        <v>0.5</v>
      </c>
      <c r="S100" s="226">
        <v>0.5</v>
      </c>
      <c r="T100" s="226">
        <v>0.5</v>
      </c>
      <c r="U100" s="226">
        <v>0.5</v>
      </c>
      <c r="V100" s="226">
        <v>0.5</v>
      </c>
      <c r="W100" s="226">
        <v>0.5</v>
      </c>
      <c r="X100" s="226">
        <v>0.5</v>
      </c>
      <c r="Y100" s="226"/>
      <c r="Z100" s="226"/>
      <c r="AA100" s="222"/>
      <c r="AB100" s="155"/>
      <c r="AC100" s="186"/>
      <c r="AE100" s="186"/>
    </row>
    <row r="101" spans="1:31" s="208" customFormat="1">
      <c r="A101" s="224" t="s">
        <v>225</v>
      </c>
      <c r="B101" s="221">
        <v>200</v>
      </c>
      <c r="C101" s="222">
        <v>200</v>
      </c>
      <c r="D101" s="222">
        <v>200</v>
      </c>
      <c r="E101" s="222">
        <v>200</v>
      </c>
      <c r="F101" s="222">
        <v>200</v>
      </c>
      <c r="G101" s="222">
        <v>200</v>
      </c>
      <c r="H101" s="222">
        <v>200</v>
      </c>
      <c r="I101" s="223"/>
      <c r="J101" s="222">
        <v>200</v>
      </c>
      <c r="K101" s="222">
        <v>200</v>
      </c>
      <c r="L101" s="222">
        <v>200</v>
      </c>
      <c r="M101" s="233">
        <v>0</v>
      </c>
      <c r="N101" s="222">
        <v>200</v>
      </c>
      <c r="O101" s="222">
        <v>200</v>
      </c>
      <c r="P101" s="222">
        <v>200</v>
      </c>
      <c r="Q101" s="223"/>
      <c r="R101" s="222">
        <v>200</v>
      </c>
      <c r="S101" s="222">
        <v>200</v>
      </c>
      <c r="T101" s="222">
        <v>200</v>
      </c>
      <c r="U101" s="222">
        <v>200</v>
      </c>
      <c r="V101" s="222">
        <v>200</v>
      </c>
      <c r="W101" s="222">
        <v>200</v>
      </c>
      <c r="X101" s="222">
        <v>200</v>
      </c>
      <c r="Y101" s="222"/>
      <c r="Z101" s="222"/>
      <c r="AA101" s="222"/>
      <c r="AB101" s="155"/>
      <c r="AC101" s="186"/>
      <c r="AE101" s="186"/>
    </row>
    <row r="102" spans="1:31" s="208" customFormat="1" ht="13.5" thickBot="1">
      <c r="A102" s="218" t="s">
        <v>231</v>
      </c>
      <c r="B102" s="228">
        <f t="shared" ref="B102:X102" si="33">+B100*B101</f>
        <v>100</v>
      </c>
      <c r="C102" s="229">
        <f t="shared" si="33"/>
        <v>100</v>
      </c>
      <c r="D102" s="229">
        <f t="shared" si="33"/>
        <v>100</v>
      </c>
      <c r="E102" s="229">
        <f t="shared" si="33"/>
        <v>100</v>
      </c>
      <c r="F102" s="229">
        <f t="shared" si="33"/>
        <v>100</v>
      </c>
      <c r="G102" s="229">
        <f t="shared" si="33"/>
        <v>100</v>
      </c>
      <c r="H102" s="229">
        <f t="shared" si="33"/>
        <v>100</v>
      </c>
      <c r="I102" s="230"/>
      <c r="J102" s="229">
        <f t="shared" si="33"/>
        <v>100</v>
      </c>
      <c r="K102" s="229">
        <f t="shared" si="33"/>
        <v>100</v>
      </c>
      <c r="L102" s="229">
        <f t="shared" si="33"/>
        <v>100</v>
      </c>
      <c r="M102" s="229">
        <f t="shared" si="33"/>
        <v>0</v>
      </c>
      <c r="N102" s="229">
        <f t="shared" si="33"/>
        <v>100</v>
      </c>
      <c r="O102" s="229">
        <f t="shared" si="33"/>
        <v>100</v>
      </c>
      <c r="P102" s="229">
        <f t="shared" si="33"/>
        <v>100</v>
      </c>
      <c r="Q102" s="230"/>
      <c r="R102" s="229">
        <f t="shared" si="33"/>
        <v>100</v>
      </c>
      <c r="S102" s="229">
        <f t="shared" si="33"/>
        <v>100</v>
      </c>
      <c r="T102" s="229">
        <f t="shared" si="33"/>
        <v>100</v>
      </c>
      <c r="U102" s="229">
        <f t="shared" si="33"/>
        <v>100</v>
      </c>
      <c r="V102" s="229">
        <f t="shared" si="33"/>
        <v>100</v>
      </c>
      <c r="W102" s="229">
        <f t="shared" si="33"/>
        <v>100</v>
      </c>
      <c r="X102" s="229">
        <f t="shared" si="33"/>
        <v>100</v>
      </c>
      <c r="Y102" s="229"/>
      <c r="Z102" s="385"/>
      <c r="AA102" s="222"/>
      <c r="AB102" s="156"/>
      <c r="AC102" s="186"/>
      <c r="AE102" s="186"/>
    </row>
    <row r="103" spans="1:31" s="208" customFormat="1">
      <c r="A103" s="65"/>
      <c r="B103" s="231"/>
      <c r="C103" s="232"/>
      <c r="D103" s="232"/>
      <c r="E103" s="232"/>
      <c r="F103" s="232"/>
      <c r="G103" s="232"/>
      <c r="H103" s="233"/>
      <c r="I103" s="237"/>
      <c r="J103" s="233"/>
      <c r="K103" s="233"/>
      <c r="L103" s="233"/>
      <c r="M103" s="233"/>
      <c r="N103" s="233"/>
      <c r="O103" s="233"/>
      <c r="P103" s="233"/>
      <c r="Q103" s="237"/>
      <c r="R103" s="233"/>
      <c r="S103" s="233"/>
      <c r="T103" s="233"/>
      <c r="U103" s="233"/>
      <c r="V103" s="233"/>
      <c r="W103" s="233"/>
      <c r="X103" s="233"/>
      <c r="Y103" s="233"/>
      <c r="Z103" s="233"/>
      <c r="AA103" s="233"/>
      <c r="AB103" s="65"/>
      <c r="AC103" s="234"/>
      <c r="AE103" s="234"/>
    </row>
    <row r="104" spans="1:31" hidden="1">
      <c r="A104" s="235" t="s">
        <v>232</v>
      </c>
      <c r="B104" s="236"/>
      <c r="C104" s="233"/>
      <c r="D104" s="233"/>
      <c r="E104" s="233"/>
      <c r="F104" s="233"/>
      <c r="G104" s="233"/>
      <c r="H104" s="233"/>
      <c r="I104" s="237"/>
      <c r="J104" s="233"/>
      <c r="K104" s="233"/>
      <c r="L104" s="233"/>
      <c r="M104" s="233"/>
      <c r="N104" s="233"/>
      <c r="O104" s="233"/>
      <c r="P104" s="233"/>
      <c r="Q104" s="237"/>
      <c r="R104" s="233"/>
      <c r="S104" s="233"/>
      <c r="T104" s="233"/>
      <c r="U104" s="233"/>
      <c r="V104" s="233"/>
      <c r="W104" s="233"/>
      <c r="X104" s="233"/>
      <c r="Y104" s="233"/>
      <c r="Z104" s="233"/>
      <c r="AA104" s="233"/>
    </row>
    <row r="105" spans="1:31" hidden="1">
      <c r="A105" s="65" t="s">
        <v>233</v>
      </c>
      <c r="B105" s="239">
        <v>136</v>
      </c>
      <c r="C105" s="240">
        <v>70</v>
      </c>
      <c r="D105" s="240">
        <v>40</v>
      </c>
      <c r="E105" s="240">
        <v>50</v>
      </c>
      <c r="F105" s="233">
        <v>0</v>
      </c>
      <c r="G105" s="233">
        <v>100</v>
      </c>
      <c r="H105" s="240">
        <v>0</v>
      </c>
      <c r="I105" s="241"/>
      <c r="J105" s="240">
        <v>50</v>
      </c>
      <c r="K105" s="240">
        <v>80</v>
      </c>
      <c r="L105" s="240">
        <v>240</v>
      </c>
      <c r="M105" s="233">
        <v>0</v>
      </c>
      <c r="N105" s="233">
        <v>100</v>
      </c>
      <c r="O105" s="233">
        <v>0</v>
      </c>
      <c r="P105" s="233">
        <v>100</v>
      </c>
      <c r="Q105" s="237"/>
      <c r="R105" s="240">
        <v>80</v>
      </c>
      <c r="S105" s="240">
        <v>50</v>
      </c>
      <c r="T105" s="233">
        <v>0</v>
      </c>
      <c r="U105" s="233">
        <v>0</v>
      </c>
      <c r="V105" s="233">
        <v>100</v>
      </c>
      <c r="W105" s="233">
        <v>200</v>
      </c>
      <c r="X105" s="240">
        <v>70</v>
      </c>
      <c r="Y105" s="240"/>
      <c r="Z105" s="240"/>
      <c r="AA105" s="233"/>
    </row>
    <row r="106" spans="1:31" hidden="1">
      <c r="A106" s="65" t="s">
        <v>234</v>
      </c>
      <c r="B106" s="239">
        <v>260</v>
      </c>
      <c r="C106" s="240">
        <v>100</v>
      </c>
      <c r="D106" s="240">
        <v>0</v>
      </c>
      <c r="E106" s="240">
        <v>0</v>
      </c>
      <c r="F106" s="233">
        <v>0</v>
      </c>
      <c r="G106" s="233">
        <v>100</v>
      </c>
      <c r="H106" s="240">
        <v>100</v>
      </c>
      <c r="I106" s="241"/>
      <c r="J106" s="233">
        <v>0</v>
      </c>
      <c r="K106" s="233">
        <v>0</v>
      </c>
      <c r="L106" s="240">
        <v>260</v>
      </c>
      <c r="M106" s="240">
        <v>100</v>
      </c>
      <c r="N106" s="233">
        <v>0</v>
      </c>
      <c r="O106" s="233">
        <v>0</v>
      </c>
      <c r="P106" s="233">
        <v>100</v>
      </c>
      <c r="Q106" s="237"/>
      <c r="R106" s="233">
        <v>0</v>
      </c>
      <c r="S106" s="240">
        <v>0</v>
      </c>
      <c r="T106" s="240">
        <v>100</v>
      </c>
      <c r="U106" s="233">
        <v>0</v>
      </c>
      <c r="V106" s="233">
        <v>100</v>
      </c>
      <c r="W106" s="233">
        <v>0</v>
      </c>
      <c r="X106" s="240">
        <v>0</v>
      </c>
      <c r="Y106" s="240"/>
      <c r="Z106" s="240"/>
      <c r="AA106" s="233"/>
    </row>
    <row r="107" spans="1:31" hidden="1">
      <c r="A107" s="65" t="s">
        <v>235</v>
      </c>
      <c r="B107" s="236">
        <v>0</v>
      </c>
      <c r="C107" s="233">
        <v>0</v>
      </c>
      <c r="D107" s="233">
        <v>0</v>
      </c>
      <c r="E107" s="233">
        <v>0</v>
      </c>
      <c r="F107" s="233">
        <v>0</v>
      </c>
      <c r="G107" s="233">
        <v>0</v>
      </c>
      <c r="H107" s="233">
        <v>0</v>
      </c>
      <c r="I107" s="237"/>
      <c r="J107" s="233">
        <v>0</v>
      </c>
      <c r="K107" s="233">
        <v>0</v>
      </c>
      <c r="L107" s="233">
        <v>0</v>
      </c>
      <c r="M107" s="233">
        <v>0</v>
      </c>
      <c r="N107" s="233">
        <v>0</v>
      </c>
      <c r="O107" s="233">
        <v>0</v>
      </c>
      <c r="P107" s="233">
        <v>0</v>
      </c>
      <c r="Q107" s="237"/>
      <c r="R107" s="233">
        <v>0</v>
      </c>
      <c r="S107" s="233">
        <v>0</v>
      </c>
      <c r="T107" s="233">
        <v>0</v>
      </c>
      <c r="U107" s="233">
        <v>0</v>
      </c>
      <c r="V107" s="233">
        <v>0</v>
      </c>
      <c r="W107" s="233">
        <v>0</v>
      </c>
      <c r="X107" s="233">
        <v>0</v>
      </c>
      <c r="Y107" s="233"/>
      <c r="Z107" s="233"/>
      <c r="AA107" s="233"/>
    </row>
    <row r="108" spans="1:31" hidden="1">
      <c r="A108" s="65" t="s">
        <v>236</v>
      </c>
      <c r="B108" s="236">
        <v>0</v>
      </c>
      <c r="C108" s="233">
        <v>0</v>
      </c>
      <c r="D108" s="233">
        <v>0</v>
      </c>
      <c r="E108" s="233">
        <v>0</v>
      </c>
      <c r="F108" s="233">
        <v>0</v>
      </c>
      <c r="G108" s="233">
        <v>0</v>
      </c>
      <c r="H108" s="233">
        <v>0</v>
      </c>
      <c r="I108" s="237"/>
      <c r="J108" s="240">
        <v>100</v>
      </c>
      <c r="K108" s="233">
        <v>0</v>
      </c>
      <c r="L108" s="233">
        <v>0</v>
      </c>
      <c r="M108" s="233">
        <v>0</v>
      </c>
      <c r="N108" s="233">
        <v>0</v>
      </c>
      <c r="O108" s="233">
        <v>0</v>
      </c>
      <c r="P108" s="233">
        <v>0</v>
      </c>
      <c r="Q108" s="237"/>
      <c r="R108" s="233">
        <v>0</v>
      </c>
      <c r="S108" s="240">
        <v>200</v>
      </c>
      <c r="T108" s="233">
        <v>0</v>
      </c>
      <c r="U108" s="233">
        <v>0</v>
      </c>
      <c r="V108" s="233">
        <v>0</v>
      </c>
      <c r="W108" s="233">
        <v>0</v>
      </c>
      <c r="X108" s="240">
        <v>100</v>
      </c>
      <c r="Y108" s="240"/>
      <c r="Z108" s="240"/>
      <c r="AA108" s="233"/>
    </row>
    <row r="109" spans="1:31" hidden="1">
      <c r="A109" s="65" t="s">
        <v>237</v>
      </c>
      <c r="B109" s="236">
        <v>0</v>
      </c>
      <c r="C109" s="233">
        <v>0</v>
      </c>
      <c r="D109" s="240">
        <v>10</v>
      </c>
      <c r="E109" s="240">
        <v>10</v>
      </c>
      <c r="F109" s="233">
        <v>0</v>
      </c>
      <c r="G109" s="233">
        <v>0</v>
      </c>
      <c r="H109" s="233">
        <v>0</v>
      </c>
      <c r="I109" s="237"/>
      <c r="J109" s="233">
        <v>0</v>
      </c>
      <c r="K109" s="240">
        <v>10</v>
      </c>
      <c r="L109" s="233">
        <v>0</v>
      </c>
      <c r="M109" s="233">
        <v>0</v>
      </c>
      <c r="N109" s="233">
        <v>0</v>
      </c>
      <c r="O109" s="233">
        <v>0</v>
      </c>
      <c r="P109" s="233">
        <v>0</v>
      </c>
      <c r="Q109" s="237"/>
      <c r="R109" s="240">
        <v>10</v>
      </c>
      <c r="S109" s="233">
        <v>0</v>
      </c>
      <c r="T109" s="233">
        <v>0</v>
      </c>
      <c r="U109" s="233">
        <v>0</v>
      </c>
      <c r="V109" s="233">
        <v>0</v>
      </c>
      <c r="W109" s="233">
        <v>0</v>
      </c>
      <c r="X109" s="233">
        <v>0</v>
      </c>
      <c r="Y109" s="233"/>
      <c r="Z109" s="233"/>
      <c r="AA109" s="233"/>
    </row>
    <row r="110" spans="1:31" hidden="1">
      <c r="A110" s="65" t="s">
        <v>238</v>
      </c>
      <c r="B110" s="236">
        <v>0</v>
      </c>
      <c r="C110" s="233">
        <v>0</v>
      </c>
      <c r="D110" s="233">
        <v>0</v>
      </c>
      <c r="E110" s="233">
        <v>0</v>
      </c>
      <c r="F110" s="233">
        <v>0</v>
      </c>
      <c r="G110" s="233">
        <v>0</v>
      </c>
      <c r="H110" s="233">
        <v>0</v>
      </c>
      <c r="I110" s="237"/>
      <c r="J110" s="233">
        <v>0</v>
      </c>
      <c r="K110" s="233">
        <v>0</v>
      </c>
      <c r="L110" s="233">
        <v>0</v>
      </c>
      <c r="M110" s="233">
        <v>0</v>
      </c>
      <c r="N110" s="233">
        <v>0</v>
      </c>
      <c r="O110" s="233">
        <v>0</v>
      </c>
      <c r="P110" s="233">
        <v>0</v>
      </c>
      <c r="Q110" s="237"/>
      <c r="R110" s="233">
        <v>0</v>
      </c>
      <c r="S110" s="233">
        <v>0</v>
      </c>
      <c r="T110" s="233">
        <v>0</v>
      </c>
      <c r="U110" s="233">
        <v>0</v>
      </c>
      <c r="V110" s="233">
        <v>0</v>
      </c>
      <c r="W110" s="233">
        <v>0</v>
      </c>
      <c r="X110" s="233">
        <v>0</v>
      </c>
      <c r="Y110" s="233"/>
      <c r="Z110" s="233"/>
      <c r="AA110" s="233"/>
    </row>
    <row r="111" spans="1:31" ht="13.5" hidden="1" thickBot="1">
      <c r="A111" s="242" t="s">
        <v>232</v>
      </c>
      <c r="B111" s="389">
        <f t="shared" ref="B111:X111" si="34">SUM(B105:B110)</f>
        <v>396</v>
      </c>
      <c r="C111" s="243">
        <f t="shared" si="34"/>
        <v>170</v>
      </c>
      <c r="D111" s="243">
        <f t="shared" si="34"/>
        <v>50</v>
      </c>
      <c r="E111" s="243">
        <f t="shared" si="34"/>
        <v>60</v>
      </c>
      <c r="F111" s="243">
        <f t="shared" si="34"/>
        <v>0</v>
      </c>
      <c r="G111" s="243">
        <f t="shared" si="34"/>
        <v>200</v>
      </c>
      <c r="H111" s="243">
        <f t="shared" si="34"/>
        <v>100</v>
      </c>
      <c r="I111" s="391"/>
      <c r="J111" s="243">
        <f t="shared" si="34"/>
        <v>150</v>
      </c>
      <c r="K111" s="243">
        <f t="shared" si="34"/>
        <v>90</v>
      </c>
      <c r="L111" s="243">
        <f t="shared" si="34"/>
        <v>500</v>
      </c>
      <c r="M111" s="243">
        <f t="shared" si="34"/>
        <v>100</v>
      </c>
      <c r="N111" s="243">
        <f t="shared" si="34"/>
        <v>100</v>
      </c>
      <c r="O111" s="243">
        <f t="shared" si="34"/>
        <v>0</v>
      </c>
      <c r="P111" s="243">
        <f t="shared" si="34"/>
        <v>200</v>
      </c>
      <c r="Q111" s="391"/>
      <c r="R111" s="243">
        <f t="shared" si="34"/>
        <v>90</v>
      </c>
      <c r="S111" s="243">
        <f t="shared" si="34"/>
        <v>250</v>
      </c>
      <c r="T111" s="243">
        <f t="shared" si="34"/>
        <v>100</v>
      </c>
      <c r="U111" s="243">
        <f t="shared" si="34"/>
        <v>0</v>
      </c>
      <c r="V111" s="243">
        <f t="shared" si="34"/>
        <v>200</v>
      </c>
      <c r="W111" s="243">
        <f t="shared" si="34"/>
        <v>200</v>
      </c>
      <c r="X111" s="243">
        <f t="shared" si="34"/>
        <v>170</v>
      </c>
      <c r="Y111" s="243"/>
      <c r="Z111" s="386"/>
      <c r="AA111" s="238"/>
    </row>
    <row r="112" spans="1:31">
      <c r="H112" s="233"/>
      <c r="I112" s="233"/>
      <c r="AA112" s="233"/>
    </row>
    <row r="113" spans="8:27">
      <c r="H113" s="233"/>
      <c r="I113" s="233"/>
      <c r="AA113" s="233"/>
    </row>
    <row r="114" spans="8:27">
      <c r="AA114" s="233"/>
    </row>
    <row r="115" spans="8:27">
      <c r="AA115" s="233"/>
    </row>
    <row r="116" spans="8:27">
      <c r="AA116" s="233"/>
    </row>
    <row r="117" spans="8:27">
      <c r="AA117" s="233"/>
    </row>
    <row r="118" spans="8:27">
      <c r="AA118" s="233"/>
    </row>
    <row r="119" spans="8:27">
      <c r="AA119" s="233"/>
    </row>
    <row r="120" spans="8:27">
      <c r="AA120" s="233"/>
    </row>
    <row r="121" spans="8:27">
      <c r="AA121" s="233"/>
    </row>
    <row r="122" spans="8:27">
      <c r="AA122" s="233"/>
    </row>
    <row r="123" spans="8:27">
      <c r="AA123" s="233"/>
    </row>
    <row r="124" spans="8:27">
      <c r="AA124" s="233"/>
    </row>
    <row r="125" spans="8:27">
      <c r="AA125" s="233"/>
    </row>
    <row r="126" spans="8:27">
      <c r="AA126" s="233"/>
    </row>
    <row r="127" spans="8:27">
      <c r="AA127" s="233"/>
    </row>
    <row r="128" spans="8:27">
      <c r="AA128" s="233"/>
    </row>
    <row r="129" spans="27:27">
      <c r="AA129" s="233"/>
    </row>
    <row r="130" spans="27:27">
      <c r="AA130" s="233"/>
    </row>
    <row r="131" spans="27:27">
      <c r="AA131" s="233"/>
    </row>
    <row r="132" spans="27:27">
      <c r="AA132" s="233"/>
    </row>
    <row r="133" spans="27:27">
      <c r="AA133" s="233"/>
    </row>
    <row r="134" spans="27:27">
      <c r="AA134" s="233"/>
    </row>
    <row r="135" spans="27:27">
      <c r="AA135" s="233"/>
    </row>
    <row r="136" spans="27:27">
      <c r="AA136" s="233"/>
    </row>
    <row r="137" spans="27:27">
      <c r="AA137" s="233"/>
    </row>
    <row r="138" spans="27:27">
      <c r="AA138" s="233"/>
    </row>
    <row r="139" spans="27:27">
      <c r="AA139" s="233"/>
    </row>
    <row r="140" spans="27:27">
      <c r="AA140" s="233"/>
    </row>
    <row r="141" spans="27:27">
      <c r="AA141" s="233"/>
    </row>
    <row r="142" spans="27:27">
      <c r="AA142" s="233"/>
    </row>
    <row r="143" spans="27:27">
      <c r="AA143" s="233"/>
    </row>
    <row r="144" spans="27:27">
      <c r="AA144" s="233"/>
    </row>
    <row r="145" spans="27:27">
      <c r="AA145" s="233"/>
    </row>
    <row r="146" spans="27:27">
      <c r="AA146" s="233"/>
    </row>
    <row r="147" spans="27:27">
      <c r="AA147" s="233"/>
    </row>
    <row r="148" spans="27:27">
      <c r="AA148" s="233"/>
    </row>
    <row r="149" spans="27:27">
      <c r="AA149" s="233"/>
    </row>
    <row r="150" spans="27:27">
      <c r="AA150" s="233"/>
    </row>
    <row r="151" spans="27:27">
      <c r="AA151" s="233"/>
    </row>
    <row r="152" spans="27:27">
      <c r="AA152" s="233"/>
    </row>
    <row r="153" spans="27:27">
      <c r="AA153" s="233"/>
    </row>
    <row r="154" spans="27:27">
      <c r="AA154" s="233"/>
    </row>
    <row r="155" spans="27:27">
      <c r="AA155" s="233"/>
    </row>
    <row r="156" spans="27:27">
      <c r="AA156" s="233"/>
    </row>
    <row r="157" spans="27:27">
      <c r="AA157" s="233"/>
    </row>
    <row r="158" spans="27:27">
      <c r="AA158" s="233"/>
    </row>
    <row r="159" spans="27:27">
      <c r="AA159" s="233"/>
    </row>
    <row r="160" spans="27:27">
      <c r="AA160" s="233"/>
    </row>
    <row r="161" spans="27:27">
      <c r="AA161" s="233"/>
    </row>
  </sheetData>
  <mergeCells count="5">
    <mergeCell ref="B1:H1"/>
    <mergeCell ref="J1:P1"/>
    <mergeCell ref="R1:X1"/>
    <mergeCell ref="A2:A3"/>
    <mergeCell ref="AA54:AC5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B161"/>
  <sheetViews>
    <sheetView topLeftCell="T37" workbookViewId="0" xr3:uid="{51F8DEE0-4D01-5F28-A812-FC0BD7CAC4A5}">
      <selection activeCell="AG13" sqref="AG13"/>
    </sheetView>
  </sheetViews>
  <sheetFormatPr defaultRowHeight="12.75"/>
  <cols>
    <col min="1" max="1" width="44.7109375" style="65" bestFit="1" customWidth="1"/>
    <col min="2" max="2" width="15.140625" style="65" customWidth="1"/>
    <col min="3" max="3" width="18.140625" style="65" customWidth="1"/>
    <col min="4" max="26" width="15.140625" style="65" customWidth="1"/>
    <col min="27" max="27" width="13.7109375" style="65" customWidth="1"/>
    <col min="28" max="28" width="12.140625" style="65" customWidth="1"/>
    <col min="29" max="29" width="11.28515625" style="238" customWidth="1"/>
    <col min="30" max="30" width="11.140625" style="65" customWidth="1"/>
    <col min="31" max="31" width="11.28515625" style="238" customWidth="1"/>
    <col min="32" max="16384" width="9.140625" style="65"/>
  </cols>
  <sheetData>
    <row r="1" spans="1:132" hidden="1">
      <c r="B1" s="502" t="s">
        <v>99</v>
      </c>
      <c r="C1" s="503"/>
      <c r="D1" s="503"/>
      <c r="E1" s="503"/>
      <c r="F1" s="503"/>
      <c r="G1" s="503"/>
      <c r="H1" s="504"/>
      <c r="I1" s="494"/>
      <c r="J1" s="505" t="s">
        <v>63</v>
      </c>
      <c r="K1" s="506"/>
      <c r="L1" s="506"/>
      <c r="M1" s="506"/>
      <c r="N1" s="506"/>
      <c r="O1" s="506"/>
      <c r="P1" s="507"/>
      <c r="Q1" s="387"/>
      <c r="R1" s="506" t="s">
        <v>105</v>
      </c>
      <c r="S1" s="506"/>
      <c r="T1" s="506"/>
      <c r="U1" s="506"/>
      <c r="V1" s="506"/>
      <c r="W1" s="506"/>
      <c r="X1" s="508"/>
      <c r="Y1" s="496"/>
      <c r="Z1" s="496"/>
      <c r="AA1" s="66"/>
      <c r="AB1" s="66"/>
      <c r="AC1" s="67"/>
      <c r="AD1" s="67"/>
      <c r="AE1" s="67"/>
    </row>
    <row r="2" spans="1:132" hidden="1">
      <c r="A2" s="509" t="s">
        <v>113</v>
      </c>
      <c r="B2" s="68" t="s">
        <v>114</v>
      </c>
      <c r="C2" s="69" t="s">
        <v>114</v>
      </c>
      <c r="D2" s="69" t="s">
        <v>114</v>
      </c>
      <c r="E2" s="69" t="s">
        <v>114</v>
      </c>
      <c r="F2" s="69" t="s">
        <v>114</v>
      </c>
      <c r="G2" s="69" t="s">
        <v>114</v>
      </c>
      <c r="H2" s="70" t="s">
        <v>114</v>
      </c>
      <c r="I2" s="70"/>
      <c r="J2" s="69" t="s">
        <v>114</v>
      </c>
      <c r="K2" s="69" t="s">
        <v>114</v>
      </c>
      <c r="L2" s="69" t="s">
        <v>114</v>
      </c>
      <c r="M2" s="69" t="s">
        <v>114</v>
      </c>
      <c r="N2" s="69" t="s">
        <v>114</v>
      </c>
      <c r="O2" s="69" t="s">
        <v>114</v>
      </c>
      <c r="P2" s="388" t="s">
        <v>114</v>
      </c>
      <c r="Q2" s="392"/>
      <c r="R2" s="69" t="s">
        <v>114</v>
      </c>
      <c r="S2" s="69" t="s">
        <v>114</v>
      </c>
      <c r="T2" s="69" t="s">
        <v>114</v>
      </c>
      <c r="U2" s="69" t="s">
        <v>114</v>
      </c>
      <c r="V2" s="69" t="s">
        <v>114</v>
      </c>
      <c r="W2" s="69" t="s">
        <v>114</v>
      </c>
      <c r="X2" s="71" t="s">
        <v>114</v>
      </c>
      <c r="Y2" s="70"/>
      <c r="Z2" s="495"/>
      <c r="AA2" s="72" t="s">
        <v>115</v>
      </c>
      <c r="AB2" s="72" t="s">
        <v>114</v>
      </c>
      <c r="AC2" s="73" t="s">
        <v>1</v>
      </c>
      <c r="AD2" s="73" t="s">
        <v>116</v>
      </c>
      <c r="AE2" s="73" t="s">
        <v>117</v>
      </c>
    </row>
    <row r="3" spans="1:132" hidden="1">
      <c r="A3" s="510"/>
      <c r="B3" s="74"/>
      <c r="C3" s="75"/>
      <c r="D3" s="75"/>
      <c r="E3" s="75"/>
      <c r="F3" s="75"/>
      <c r="G3" s="75"/>
      <c r="H3" s="76"/>
      <c r="I3" s="76"/>
      <c r="J3" s="75"/>
      <c r="K3" s="75"/>
      <c r="L3" s="75"/>
      <c r="M3" s="75"/>
      <c r="N3" s="75"/>
      <c r="O3" s="75"/>
      <c r="P3" s="75"/>
      <c r="Q3" s="76"/>
      <c r="R3" s="75"/>
      <c r="S3" s="75"/>
      <c r="T3" s="75"/>
      <c r="U3" s="75"/>
      <c r="V3" s="75"/>
      <c r="W3" s="75"/>
      <c r="X3" s="77"/>
      <c r="Y3" s="76"/>
      <c r="Z3" s="77"/>
      <c r="AA3" s="78"/>
      <c r="AB3" s="79"/>
      <c r="AC3" s="80"/>
      <c r="AD3" s="80"/>
      <c r="AE3" s="80"/>
    </row>
    <row r="4" spans="1:132" ht="38.25">
      <c r="A4" s="81" t="s">
        <v>118</v>
      </c>
      <c r="B4" s="82"/>
      <c r="C4" s="83"/>
      <c r="D4" s="346"/>
      <c r="E4" s="83"/>
      <c r="F4" s="83"/>
      <c r="G4" s="83"/>
      <c r="H4" s="83"/>
      <c r="I4" s="84" t="s">
        <v>126</v>
      </c>
      <c r="J4" s="346"/>
      <c r="K4" s="83"/>
      <c r="L4" s="346"/>
      <c r="M4" s="83"/>
      <c r="N4" s="83"/>
      <c r="O4" s="83"/>
      <c r="P4" s="83"/>
      <c r="Q4" s="84" t="s">
        <v>130</v>
      </c>
      <c r="R4" s="83"/>
      <c r="S4" s="83"/>
      <c r="T4" s="83"/>
      <c r="U4" s="83"/>
      <c r="V4" s="83"/>
      <c r="W4" s="347"/>
      <c r="X4" s="346"/>
      <c r="Y4" s="84" t="s">
        <v>133</v>
      </c>
      <c r="Z4" s="398" t="s">
        <v>134</v>
      </c>
      <c r="AA4" s="86"/>
      <c r="AB4" s="329" t="s">
        <v>114</v>
      </c>
      <c r="AC4" s="328" t="s">
        <v>135</v>
      </c>
      <c r="AD4" s="80" t="s">
        <v>116</v>
      </c>
      <c r="AE4" s="328" t="s">
        <v>136</v>
      </c>
    </row>
    <row r="5" spans="1:132" ht="30" customHeight="1">
      <c r="A5" s="81" t="s">
        <v>137</v>
      </c>
      <c r="B5" s="82"/>
      <c r="C5" s="83"/>
      <c r="D5" s="83"/>
      <c r="E5" s="83"/>
      <c r="F5" s="83"/>
      <c r="G5" s="83"/>
      <c r="H5" s="83"/>
      <c r="I5" s="84"/>
      <c r="J5" s="83"/>
      <c r="K5" s="83"/>
      <c r="L5" s="83"/>
      <c r="M5" s="83"/>
      <c r="N5" s="83"/>
      <c r="O5" s="83"/>
      <c r="P5" s="83"/>
      <c r="Q5" s="84"/>
      <c r="R5" s="83"/>
      <c r="S5" s="83"/>
      <c r="T5" s="83"/>
      <c r="U5" s="83"/>
      <c r="V5" s="83"/>
      <c r="W5" s="83"/>
      <c r="X5" s="83"/>
      <c r="Y5" s="84"/>
      <c r="Z5" s="85"/>
      <c r="AA5" s="86"/>
      <c r="AB5" s="87"/>
      <c r="AC5" s="80"/>
      <c r="AD5" s="80"/>
      <c r="AE5" s="80"/>
    </row>
    <row r="6" spans="1:132">
      <c r="A6" s="81" t="s">
        <v>145</v>
      </c>
      <c r="B6" s="52"/>
      <c r="C6" s="53"/>
      <c r="D6" s="53"/>
      <c r="E6" s="53"/>
      <c r="F6" s="53"/>
      <c r="G6" s="53"/>
      <c r="H6" s="53"/>
      <c r="I6" s="54"/>
      <c r="J6" s="53"/>
      <c r="K6" s="53"/>
      <c r="L6" s="53"/>
      <c r="M6" s="53"/>
      <c r="N6" s="53"/>
      <c r="O6" s="53"/>
      <c r="P6" s="53"/>
      <c r="Q6" s="54"/>
      <c r="R6" s="53"/>
      <c r="S6" s="53"/>
      <c r="T6" s="53"/>
      <c r="U6" s="53"/>
      <c r="V6" s="53"/>
      <c r="W6" s="53"/>
      <c r="X6" s="53"/>
      <c r="Y6" s="54"/>
      <c r="Z6" s="55"/>
      <c r="AA6" s="56"/>
      <c r="AB6" s="88"/>
      <c r="AC6" s="80"/>
      <c r="AD6" s="80"/>
      <c r="AE6" s="80"/>
    </row>
    <row r="7" spans="1:132">
      <c r="A7" s="81" t="s">
        <v>165</v>
      </c>
      <c r="B7" s="57"/>
      <c r="C7" s="58"/>
      <c r="D7" s="58"/>
      <c r="E7" s="58"/>
      <c r="F7" s="58"/>
      <c r="G7" s="58"/>
      <c r="H7" s="58"/>
      <c r="I7" s="59"/>
      <c r="J7" s="58"/>
      <c r="K7" s="58"/>
      <c r="L7" s="58"/>
      <c r="M7" s="58"/>
      <c r="N7" s="58"/>
      <c r="O7" s="58"/>
      <c r="P7" s="58"/>
      <c r="Q7" s="59"/>
      <c r="R7" s="58"/>
      <c r="S7" s="58"/>
      <c r="T7" s="58"/>
      <c r="U7" s="58"/>
      <c r="V7" s="58"/>
      <c r="W7" s="58"/>
      <c r="X7" s="58"/>
      <c r="Y7" s="59"/>
      <c r="Z7" s="60"/>
      <c r="AA7" s="56"/>
      <c r="AB7" s="88"/>
      <c r="AC7" s="80"/>
      <c r="AD7" s="80"/>
      <c r="AE7" s="80"/>
    </row>
    <row r="8" spans="1:132">
      <c r="A8" s="81" t="s">
        <v>171</v>
      </c>
      <c r="B8" s="57"/>
      <c r="C8" s="58"/>
      <c r="D8" s="58"/>
      <c r="E8" s="58"/>
      <c r="F8" s="58"/>
      <c r="G8" s="58"/>
      <c r="H8" s="58"/>
      <c r="I8" s="59"/>
      <c r="J8" s="58"/>
      <c r="K8" s="58"/>
      <c r="L8" s="58"/>
      <c r="M8" s="58"/>
      <c r="N8" s="58"/>
      <c r="O8" s="58"/>
      <c r="P8" s="58"/>
      <c r="Q8" s="59"/>
      <c r="R8" s="58"/>
      <c r="S8" s="58"/>
      <c r="T8" s="58"/>
      <c r="U8" s="58"/>
      <c r="V8" s="58"/>
      <c r="W8" s="58"/>
      <c r="X8" s="58"/>
      <c r="Y8" s="59"/>
      <c r="Z8" s="60"/>
      <c r="AA8" s="56"/>
      <c r="AB8" s="88"/>
      <c r="AC8" s="80"/>
      <c r="AD8" s="80"/>
      <c r="AE8" s="80"/>
    </row>
    <row r="9" spans="1:132">
      <c r="A9" s="81" t="s">
        <v>179</v>
      </c>
      <c r="B9" s="62"/>
      <c r="C9" s="61"/>
      <c r="D9" s="61"/>
      <c r="E9" s="61"/>
      <c r="F9" s="61"/>
      <c r="G9" s="61"/>
      <c r="H9" s="61"/>
      <c r="I9" s="63"/>
      <c r="J9" s="61"/>
      <c r="K9" s="61"/>
      <c r="L9" s="61"/>
      <c r="M9" s="61"/>
      <c r="N9" s="61"/>
      <c r="O9" s="61"/>
      <c r="P9" s="61"/>
      <c r="Q9" s="63"/>
      <c r="R9" s="61"/>
      <c r="S9" s="61"/>
      <c r="T9" s="61"/>
      <c r="U9" s="61"/>
      <c r="V9" s="61"/>
      <c r="W9" s="61"/>
      <c r="X9" s="61"/>
      <c r="Y9" s="63"/>
      <c r="Z9" s="64"/>
      <c r="AA9" s="56"/>
      <c r="AB9" s="88"/>
      <c r="AC9" s="80"/>
      <c r="AD9" s="80"/>
      <c r="AE9" s="80"/>
    </row>
    <row r="10" spans="1:132">
      <c r="A10" s="89" t="s">
        <v>180</v>
      </c>
      <c r="B10" s="90"/>
      <c r="C10" s="91"/>
      <c r="D10" s="91"/>
      <c r="E10" s="91"/>
      <c r="F10" s="91"/>
      <c r="G10" s="91"/>
      <c r="H10" s="91"/>
      <c r="I10" s="92"/>
      <c r="J10" s="91"/>
      <c r="K10" s="91"/>
      <c r="L10" s="91"/>
      <c r="M10" s="91"/>
      <c r="N10" s="91"/>
      <c r="O10" s="91"/>
      <c r="P10" s="91"/>
      <c r="Q10" s="92"/>
      <c r="R10" s="91"/>
      <c r="S10" s="91"/>
      <c r="T10" s="91"/>
      <c r="U10" s="91"/>
      <c r="V10" s="91"/>
      <c r="W10" s="91"/>
      <c r="X10" s="91"/>
      <c r="Y10" s="92"/>
      <c r="Z10" s="93"/>
      <c r="AA10" s="94"/>
      <c r="AB10" s="95"/>
      <c r="AC10" s="96"/>
      <c r="AD10" s="80"/>
      <c r="AE10" s="96"/>
    </row>
    <row r="11" spans="1:132">
      <c r="A11" s="97" t="s">
        <v>181</v>
      </c>
      <c r="B11" s="98"/>
      <c r="C11" s="99"/>
      <c r="D11" s="99"/>
      <c r="E11" s="99"/>
      <c r="F11" s="99"/>
      <c r="G11" s="99"/>
      <c r="H11" s="99"/>
      <c r="I11" s="100"/>
      <c r="J11" s="99"/>
      <c r="K11" s="99"/>
      <c r="L11" s="99"/>
      <c r="M11" s="99"/>
      <c r="N11" s="99"/>
      <c r="O11" s="99"/>
      <c r="P11" s="99"/>
      <c r="Q11" s="100"/>
      <c r="R11" s="99"/>
      <c r="S11" s="99"/>
      <c r="T11" s="99"/>
      <c r="U11" s="99"/>
      <c r="V11" s="99"/>
      <c r="W11" s="99"/>
      <c r="X11" s="99"/>
      <c r="Y11" s="100"/>
      <c r="Z11" s="101"/>
      <c r="AA11" s="102"/>
      <c r="AB11" s="103"/>
      <c r="AC11" s="104"/>
      <c r="AD11" s="80"/>
      <c r="AE11" s="104"/>
    </row>
    <row r="12" spans="1:132">
      <c r="A12" s="105" t="s">
        <v>182</v>
      </c>
      <c r="B12" s="106">
        <v>0</v>
      </c>
      <c r="C12" s="107">
        <v>0</v>
      </c>
      <c r="D12" s="107">
        <v>0</v>
      </c>
      <c r="E12" s="107">
        <v>0</v>
      </c>
      <c r="F12" s="107">
        <v>0</v>
      </c>
      <c r="G12" s="107">
        <v>0</v>
      </c>
      <c r="H12" s="107">
        <v>0</v>
      </c>
      <c r="I12" s="108"/>
      <c r="J12" s="107">
        <v>0</v>
      </c>
      <c r="K12" s="107">
        <v>0</v>
      </c>
      <c r="L12" s="107">
        <v>0</v>
      </c>
      <c r="M12" s="107">
        <v>0</v>
      </c>
      <c r="N12" s="107">
        <v>0</v>
      </c>
      <c r="O12" s="107">
        <v>0</v>
      </c>
      <c r="P12" s="107">
        <v>0</v>
      </c>
      <c r="Q12" s="108"/>
      <c r="R12" s="107">
        <v>0</v>
      </c>
      <c r="S12" s="107">
        <v>0</v>
      </c>
      <c r="T12" s="107">
        <v>0</v>
      </c>
      <c r="U12" s="107">
        <v>0</v>
      </c>
      <c r="V12" s="107">
        <v>0</v>
      </c>
      <c r="W12" s="107">
        <v>0</v>
      </c>
      <c r="X12" s="107">
        <v>0</v>
      </c>
      <c r="Y12" s="108"/>
      <c r="Z12" s="395"/>
      <c r="AA12" s="102">
        <f>B12+C12+D12+E12+F12+G12+H12+J12+K12+L12+M12+N12+O12+P12+R12+S12+T12+U12+V12+W12+X12</f>
        <v>0</v>
      </c>
      <c r="AB12" s="103"/>
      <c r="AC12" s="104"/>
      <c r="AD12" s="80"/>
      <c r="AE12" s="104"/>
    </row>
    <row r="13" spans="1:132">
      <c r="A13" s="109" t="s">
        <v>183</v>
      </c>
      <c r="B13" s="110">
        <v>1</v>
      </c>
      <c r="C13" s="111">
        <v>0.7</v>
      </c>
      <c r="D13" s="111">
        <v>0.55000000000000004</v>
      </c>
      <c r="E13" s="111">
        <v>0.75</v>
      </c>
      <c r="F13" s="111">
        <v>0.65</v>
      </c>
      <c r="G13" s="111">
        <v>0.75</v>
      </c>
      <c r="H13" s="111">
        <v>0.7</v>
      </c>
      <c r="I13" s="112"/>
      <c r="J13" s="111">
        <v>0.65</v>
      </c>
      <c r="K13" s="111">
        <v>0.5</v>
      </c>
      <c r="L13" s="111">
        <v>1</v>
      </c>
      <c r="M13" s="111">
        <v>0.7</v>
      </c>
      <c r="N13" s="111">
        <v>0.7</v>
      </c>
      <c r="O13" s="111">
        <v>0.65</v>
      </c>
      <c r="P13" s="111">
        <v>0.75</v>
      </c>
      <c r="Q13" s="112"/>
      <c r="R13" s="111">
        <v>0.65</v>
      </c>
      <c r="S13" s="111">
        <v>0.7</v>
      </c>
      <c r="T13" s="111">
        <v>0.65</v>
      </c>
      <c r="U13" s="111">
        <v>0.65</v>
      </c>
      <c r="V13" s="111">
        <v>0.75</v>
      </c>
      <c r="W13" s="111">
        <v>1</v>
      </c>
      <c r="X13" s="111">
        <v>0.65</v>
      </c>
      <c r="Y13" s="112"/>
      <c r="Z13" s="119"/>
      <c r="AA13" s="102"/>
      <c r="AB13" s="113"/>
      <c r="AC13" s="114"/>
      <c r="AD13" s="80"/>
      <c r="AE13" s="114"/>
    </row>
    <row r="14" spans="1:132">
      <c r="A14" s="109" t="s">
        <v>184</v>
      </c>
      <c r="B14" s="115">
        <f t="shared" ref="B14:X14" si="0">+B12*B13</f>
        <v>0</v>
      </c>
      <c r="C14" s="116">
        <f t="shared" si="0"/>
        <v>0</v>
      </c>
      <c r="D14" s="116">
        <f t="shared" si="0"/>
        <v>0</v>
      </c>
      <c r="E14" s="116">
        <f t="shared" si="0"/>
        <v>0</v>
      </c>
      <c r="F14" s="116">
        <f t="shared" si="0"/>
        <v>0</v>
      </c>
      <c r="G14" s="116">
        <f t="shared" si="0"/>
        <v>0</v>
      </c>
      <c r="H14" s="116">
        <f t="shared" si="0"/>
        <v>0</v>
      </c>
      <c r="I14" s="117"/>
      <c r="J14" s="116">
        <f t="shared" si="0"/>
        <v>0</v>
      </c>
      <c r="K14" s="116">
        <f t="shared" si="0"/>
        <v>0</v>
      </c>
      <c r="L14" s="116">
        <f t="shared" si="0"/>
        <v>0</v>
      </c>
      <c r="M14" s="116">
        <f t="shared" si="0"/>
        <v>0</v>
      </c>
      <c r="N14" s="116">
        <f t="shared" si="0"/>
        <v>0</v>
      </c>
      <c r="O14" s="116">
        <f t="shared" si="0"/>
        <v>0</v>
      </c>
      <c r="P14" s="116">
        <f t="shared" si="0"/>
        <v>0</v>
      </c>
      <c r="Q14" s="117"/>
      <c r="R14" s="116">
        <f t="shared" si="0"/>
        <v>0</v>
      </c>
      <c r="S14" s="116">
        <f t="shared" si="0"/>
        <v>0</v>
      </c>
      <c r="T14" s="116">
        <f t="shared" si="0"/>
        <v>0</v>
      </c>
      <c r="U14" s="116">
        <f t="shared" si="0"/>
        <v>0</v>
      </c>
      <c r="V14" s="116">
        <f t="shared" si="0"/>
        <v>0</v>
      </c>
      <c r="W14" s="116">
        <f t="shared" si="0"/>
        <v>0</v>
      </c>
      <c r="X14" s="116">
        <f t="shared" si="0"/>
        <v>0</v>
      </c>
      <c r="Y14" s="117"/>
      <c r="Z14" s="118"/>
      <c r="AA14" s="102">
        <f t="shared" ref="AA14" si="1">B14+C14+D14+E14+F14+G14+H14+J14+K14+L14+M14+N14+O14+P14+R14+S14+T14+U14+V14+W14+X14</f>
        <v>0</v>
      </c>
      <c r="AB14" s="113"/>
      <c r="AC14" s="114"/>
      <c r="AD14" s="80"/>
      <c r="AE14" s="114"/>
    </row>
    <row r="15" spans="1:132" s="120" customFormat="1">
      <c r="A15" s="297" t="s">
        <v>185</v>
      </c>
      <c r="B15" s="110">
        <v>1</v>
      </c>
      <c r="C15" s="111">
        <v>0.5</v>
      </c>
      <c r="D15" s="111">
        <v>0.3</v>
      </c>
      <c r="E15" s="111">
        <v>0.3</v>
      </c>
      <c r="F15" s="111">
        <v>0.2</v>
      </c>
      <c r="G15" s="111">
        <v>1</v>
      </c>
      <c r="H15" s="111">
        <v>0.5</v>
      </c>
      <c r="I15" s="112"/>
      <c r="J15" s="111">
        <v>0.3</v>
      </c>
      <c r="K15" s="111">
        <v>0.3</v>
      </c>
      <c r="L15" s="111">
        <v>1</v>
      </c>
      <c r="M15" s="111">
        <v>0.6</v>
      </c>
      <c r="N15" s="111">
        <v>0.6</v>
      </c>
      <c r="O15" s="111">
        <v>0.3</v>
      </c>
      <c r="P15" s="111">
        <v>1</v>
      </c>
      <c r="Q15" s="112"/>
      <c r="R15" s="111">
        <v>0.3</v>
      </c>
      <c r="S15" s="111">
        <v>0.3</v>
      </c>
      <c r="T15" s="111">
        <v>0</v>
      </c>
      <c r="U15" s="111">
        <v>0.2</v>
      </c>
      <c r="V15" s="111">
        <v>1</v>
      </c>
      <c r="W15" s="111">
        <v>1</v>
      </c>
      <c r="X15" s="111">
        <v>0.5</v>
      </c>
      <c r="Y15" s="112"/>
      <c r="Z15" s="119"/>
      <c r="AA15" s="114"/>
      <c r="AB15" s="169"/>
      <c r="AC15" s="114"/>
      <c r="AD15" s="80"/>
      <c r="AE15" s="114"/>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row>
    <row r="16" spans="1:132" s="120" customFormat="1">
      <c r="A16" s="297" t="s">
        <v>186</v>
      </c>
      <c r="B16" s="121">
        <f>+B14*B15</f>
        <v>0</v>
      </c>
      <c r="C16" s="122">
        <f t="shared" ref="C16:X16" si="2">+C14*C15</f>
        <v>0</v>
      </c>
      <c r="D16" s="122">
        <f t="shared" si="2"/>
        <v>0</v>
      </c>
      <c r="E16" s="122">
        <f t="shared" si="2"/>
        <v>0</v>
      </c>
      <c r="F16" s="122">
        <f t="shared" si="2"/>
        <v>0</v>
      </c>
      <c r="G16" s="122">
        <f t="shared" si="2"/>
        <v>0</v>
      </c>
      <c r="H16" s="122">
        <f t="shared" si="2"/>
        <v>0</v>
      </c>
      <c r="I16" s="123"/>
      <c r="J16" s="122">
        <f t="shared" si="2"/>
        <v>0</v>
      </c>
      <c r="K16" s="122">
        <f t="shared" si="2"/>
        <v>0</v>
      </c>
      <c r="L16" s="122">
        <f t="shared" si="2"/>
        <v>0</v>
      </c>
      <c r="M16" s="122">
        <f t="shared" si="2"/>
        <v>0</v>
      </c>
      <c r="N16" s="122">
        <f t="shared" si="2"/>
        <v>0</v>
      </c>
      <c r="O16" s="122">
        <f t="shared" si="2"/>
        <v>0</v>
      </c>
      <c r="P16" s="122">
        <f t="shared" si="2"/>
        <v>0</v>
      </c>
      <c r="Q16" s="123"/>
      <c r="R16" s="122">
        <f t="shared" si="2"/>
        <v>0</v>
      </c>
      <c r="S16" s="122">
        <f t="shared" si="2"/>
        <v>0</v>
      </c>
      <c r="T16" s="122">
        <f t="shared" si="2"/>
        <v>0</v>
      </c>
      <c r="U16" s="122">
        <f t="shared" si="2"/>
        <v>0</v>
      </c>
      <c r="V16" s="122">
        <f t="shared" si="2"/>
        <v>0</v>
      </c>
      <c r="W16" s="122">
        <f t="shared" si="2"/>
        <v>0</v>
      </c>
      <c r="X16" s="122">
        <f t="shared" si="2"/>
        <v>0</v>
      </c>
      <c r="Y16" s="123"/>
      <c r="Z16" s="124"/>
      <c r="AA16" s="114"/>
      <c r="AB16" s="169"/>
      <c r="AC16" s="114"/>
      <c r="AD16" s="80"/>
      <c r="AE16" s="114"/>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row>
    <row r="17" spans="1:132" s="120" customFormat="1">
      <c r="A17" s="297" t="s">
        <v>187</v>
      </c>
      <c r="B17" s="125">
        <v>5</v>
      </c>
      <c r="C17" s="126">
        <v>5</v>
      </c>
      <c r="D17" s="126">
        <v>5</v>
      </c>
      <c r="E17" s="126">
        <v>5</v>
      </c>
      <c r="F17" s="126">
        <v>2.5</v>
      </c>
      <c r="G17" s="126">
        <v>7.5</v>
      </c>
      <c r="H17" s="126">
        <v>0</v>
      </c>
      <c r="I17" s="127"/>
      <c r="J17" s="126">
        <v>5</v>
      </c>
      <c r="K17" s="126">
        <v>5</v>
      </c>
      <c r="L17" s="126">
        <v>5</v>
      </c>
      <c r="M17" s="126">
        <v>0</v>
      </c>
      <c r="N17" s="126">
        <v>5</v>
      </c>
      <c r="O17" s="126">
        <v>2.5</v>
      </c>
      <c r="P17" s="126">
        <v>7.5</v>
      </c>
      <c r="Q17" s="127"/>
      <c r="R17" s="126">
        <v>5</v>
      </c>
      <c r="S17" s="126">
        <v>5</v>
      </c>
      <c r="T17" s="126">
        <v>0</v>
      </c>
      <c r="U17" s="126">
        <v>2.5</v>
      </c>
      <c r="V17" s="126">
        <v>7.5</v>
      </c>
      <c r="W17" s="126">
        <v>7.5</v>
      </c>
      <c r="X17" s="126">
        <v>5</v>
      </c>
      <c r="Y17" s="127"/>
      <c r="Z17" s="128"/>
      <c r="AA17" s="114"/>
      <c r="AB17" s="169"/>
      <c r="AC17" s="114"/>
      <c r="AD17" s="80"/>
      <c r="AE17" s="114"/>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08"/>
      <c r="DU17" s="208"/>
      <c r="DV17" s="208"/>
      <c r="DW17" s="208"/>
      <c r="DX17" s="208"/>
      <c r="DY17" s="208"/>
      <c r="DZ17" s="208"/>
      <c r="EA17" s="208"/>
      <c r="EB17" s="208"/>
    </row>
    <row r="18" spans="1:132" s="120" customFormat="1">
      <c r="A18" s="297" t="s">
        <v>188</v>
      </c>
      <c r="B18" s="129">
        <f>1-B15</f>
        <v>0</v>
      </c>
      <c r="C18" s="130">
        <f t="shared" ref="C18:X18" si="3">1-C15</f>
        <v>0.5</v>
      </c>
      <c r="D18" s="130">
        <f t="shared" si="3"/>
        <v>0.7</v>
      </c>
      <c r="E18" s="130">
        <f t="shared" si="3"/>
        <v>0.7</v>
      </c>
      <c r="F18" s="130">
        <f t="shared" si="3"/>
        <v>0.8</v>
      </c>
      <c r="G18" s="130">
        <f t="shared" si="3"/>
        <v>0</v>
      </c>
      <c r="H18" s="130">
        <f t="shared" si="3"/>
        <v>0.5</v>
      </c>
      <c r="I18" s="131"/>
      <c r="J18" s="130">
        <f t="shared" si="3"/>
        <v>0.7</v>
      </c>
      <c r="K18" s="130">
        <f t="shared" si="3"/>
        <v>0.7</v>
      </c>
      <c r="L18" s="130">
        <f t="shared" si="3"/>
        <v>0</v>
      </c>
      <c r="M18" s="130">
        <f t="shared" si="3"/>
        <v>0.4</v>
      </c>
      <c r="N18" s="130">
        <f t="shared" si="3"/>
        <v>0.4</v>
      </c>
      <c r="O18" s="130">
        <f t="shared" si="3"/>
        <v>0.7</v>
      </c>
      <c r="P18" s="130">
        <f t="shared" si="3"/>
        <v>0</v>
      </c>
      <c r="Q18" s="131"/>
      <c r="R18" s="130">
        <f t="shared" si="3"/>
        <v>0.7</v>
      </c>
      <c r="S18" s="130">
        <f t="shared" si="3"/>
        <v>0.7</v>
      </c>
      <c r="T18" s="130">
        <f t="shared" si="3"/>
        <v>1</v>
      </c>
      <c r="U18" s="130">
        <f t="shared" si="3"/>
        <v>0.8</v>
      </c>
      <c r="V18" s="130">
        <f t="shared" si="3"/>
        <v>0</v>
      </c>
      <c r="W18" s="130">
        <f t="shared" si="3"/>
        <v>0</v>
      </c>
      <c r="X18" s="130">
        <f t="shared" si="3"/>
        <v>0.5</v>
      </c>
      <c r="Y18" s="131"/>
      <c r="Z18" s="132"/>
      <c r="AA18" s="114"/>
      <c r="AB18" s="169"/>
      <c r="AC18" s="114"/>
      <c r="AD18" s="80"/>
      <c r="AE18" s="114"/>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8"/>
      <c r="DU18" s="208"/>
      <c r="DV18" s="208"/>
      <c r="DW18" s="208"/>
      <c r="DX18" s="208"/>
      <c r="DY18" s="208"/>
      <c r="DZ18" s="208"/>
      <c r="EA18" s="208"/>
      <c r="EB18" s="208"/>
    </row>
    <row r="19" spans="1:132" s="120" customFormat="1">
      <c r="A19" s="297" t="s">
        <v>189</v>
      </c>
      <c r="B19" s="133">
        <f>+B18*B14</f>
        <v>0</v>
      </c>
      <c r="C19" s="134">
        <f t="shared" ref="C19:X19" si="4">+C18*C14</f>
        <v>0</v>
      </c>
      <c r="D19" s="134">
        <f t="shared" si="4"/>
        <v>0</v>
      </c>
      <c r="E19" s="134">
        <f t="shared" si="4"/>
        <v>0</v>
      </c>
      <c r="F19" s="134">
        <f t="shared" si="4"/>
        <v>0</v>
      </c>
      <c r="G19" s="134">
        <f t="shared" si="4"/>
        <v>0</v>
      </c>
      <c r="H19" s="134">
        <f t="shared" si="4"/>
        <v>0</v>
      </c>
      <c r="I19" s="135"/>
      <c r="J19" s="134">
        <f t="shared" si="4"/>
        <v>0</v>
      </c>
      <c r="K19" s="134">
        <f t="shared" si="4"/>
        <v>0</v>
      </c>
      <c r="L19" s="134">
        <f t="shared" si="4"/>
        <v>0</v>
      </c>
      <c r="M19" s="134">
        <f t="shared" si="4"/>
        <v>0</v>
      </c>
      <c r="N19" s="134">
        <f t="shared" si="4"/>
        <v>0</v>
      </c>
      <c r="O19" s="134">
        <f t="shared" si="4"/>
        <v>0</v>
      </c>
      <c r="P19" s="134">
        <f t="shared" si="4"/>
        <v>0</v>
      </c>
      <c r="Q19" s="135"/>
      <c r="R19" s="134">
        <f t="shared" si="4"/>
        <v>0</v>
      </c>
      <c r="S19" s="134">
        <f t="shared" si="4"/>
        <v>0</v>
      </c>
      <c r="T19" s="134">
        <f t="shared" si="4"/>
        <v>0</v>
      </c>
      <c r="U19" s="134">
        <f t="shared" si="4"/>
        <v>0</v>
      </c>
      <c r="V19" s="134">
        <f t="shared" si="4"/>
        <v>0</v>
      </c>
      <c r="W19" s="134">
        <f t="shared" si="4"/>
        <v>0</v>
      </c>
      <c r="X19" s="134">
        <f t="shared" si="4"/>
        <v>0</v>
      </c>
      <c r="Y19" s="135"/>
      <c r="Z19" s="136"/>
      <c r="AA19" s="114"/>
      <c r="AB19" s="169"/>
      <c r="AC19" s="114"/>
      <c r="AD19" s="80"/>
      <c r="AE19" s="114"/>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8"/>
      <c r="DU19" s="208"/>
      <c r="DV19" s="208"/>
      <c r="DW19" s="208"/>
      <c r="DX19" s="208"/>
      <c r="DY19" s="208"/>
      <c r="DZ19" s="208"/>
      <c r="EA19" s="208"/>
      <c r="EB19" s="208"/>
    </row>
    <row r="20" spans="1:132" s="120" customFormat="1">
      <c r="A20" s="297" t="s">
        <v>190</v>
      </c>
      <c r="B20" s="125">
        <v>2.5</v>
      </c>
      <c r="C20" s="126">
        <v>2.5</v>
      </c>
      <c r="D20" s="126">
        <v>2.5</v>
      </c>
      <c r="E20" s="126">
        <v>2.5</v>
      </c>
      <c r="F20" s="126">
        <v>2.5</v>
      </c>
      <c r="G20" s="126">
        <v>7.5</v>
      </c>
      <c r="H20" s="126">
        <v>0</v>
      </c>
      <c r="I20" s="127"/>
      <c r="J20" s="126">
        <v>2.5</v>
      </c>
      <c r="K20" s="126">
        <v>2.5</v>
      </c>
      <c r="L20" s="126">
        <v>2.5</v>
      </c>
      <c r="M20" s="126">
        <v>0</v>
      </c>
      <c r="N20" s="126">
        <v>2.5</v>
      </c>
      <c r="O20" s="126">
        <v>2.5</v>
      </c>
      <c r="P20" s="126">
        <v>7.5</v>
      </c>
      <c r="Q20" s="127"/>
      <c r="R20" s="126">
        <v>2.5</v>
      </c>
      <c r="S20" s="126">
        <v>2.5</v>
      </c>
      <c r="T20" s="126">
        <v>0</v>
      </c>
      <c r="U20" s="126">
        <v>2.5</v>
      </c>
      <c r="V20" s="126">
        <v>7.5</v>
      </c>
      <c r="W20" s="126">
        <v>2.5</v>
      </c>
      <c r="X20" s="126">
        <v>2.5</v>
      </c>
      <c r="Y20" s="127"/>
      <c r="Z20" s="128"/>
      <c r="AA20" s="114"/>
      <c r="AB20" s="169"/>
      <c r="AC20" s="114"/>
      <c r="AD20" s="80"/>
      <c r="AE20" s="114"/>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08"/>
      <c r="DU20" s="208"/>
      <c r="DV20" s="208"/>
      <c r="DW20" s="208"/>
      <c r="DX20" s="208"/>
      <c r="DY20" s="208"/>
      <c r="DZ20" s="208"/>
      <c r="EA20" s="208"/>
      <c r="EB20" s="208"/>
    </row>
    <row r="21" spans="1:132" s="144" customFormat="1">
      <c r="A21" s="137" t="s">
        <v>191</v>
      </c>
      <c r="B21" s="138">
        <f>+(B19*B20)+(B16*B17)</f>
        <v>0</v>
      </c>
      <c r="C21" s="139">
        <f t="shared" ref="C21:X21" si="5">+(C19*C20)+(C16*C17)</f>
        <v>0</v>
      </c>
      <c r="D21" s="139">
        <f t="shared" si="5"/>
        <v>0</v>
      </c>
      <c r="E21" s="139">
        <f t="shared" si="5"/>
        <v>0</v>
      </c>
      <c r="F21" s="139">
        <f t="shared" si="5"/>
        <v>0</v>
      </c>
      <c r="G21" s="139">
        <f t="shared" si="5"/>
        <v>0</v>
      </c>
      <c r="H21" s="139">
        <f t="shared" si="5"/>
        <v>0</v>
      </c>
      <c r="I21" s="140"/>
      <c r="J21" s="139">
        <f t="shared" si="5"/>
        <v>0</v>
      </c>
      <c r="K21" s="139">
        <f t="shared" si="5"/>
        <v>0</v>
      </c>
      <c r="L21" s="139">
        <f t="shared" si="5"/>
        <v>0</v>
      </c>
      <c r="M21" s="139">
        <f t="shared" si="5"/>
        <v>0</v>
      </c>
      <c r="N21" s="139">
        <f t="shared" si="5"/>
        <v>0</v>
      </c>
      <c r="O21" s="139">
        <f t="shared" si="5"/>
        <v>0</v>
      </c>
      <c r="P21" s="139">
        <f t="shared" si="5"/>
        <v>0</v>
      </c>
      <c r="Q21" s="140"/>
      <c r="R21" s="139">
        <f t="shared" si="5"/>
        <v>0</v>
      </c>
      <c r="S21" s="139">
        <f t="shared" si="5"/>
        <v>0</v>
      </c>
      <c r="T21" s="139">
        <f t="shared" si="5"/>
        <v>0</v>
      </c>
      <c r="U21" s="139">
        <f t="shared" si="5"/>
        <v>0</v>
      </c>
      <c r="V21" s="139">
        <f t="shared" si="5"/>
        <v>0</v>
      </c>
      <c r="W21" s="139">
        <f t="shared" si="5"/>
        <v>0</v>
      </c>
      <c r="X21" s="139">
        <f t="shared" si="5"/>
        <v>0</v>
      </c>
      <c r="Y21" s="140"/>
      <c r="Z21" s="141"/>
      <c r="AA21" s="142"/>
      <c r="AB21" s="142"/>
      <c r="AC21" s="142"/>
      <c r="AD21" s="80"/>
      <c r="AE21" s="142"/>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row>
    <row r="22" spans="1:132">
      <c r="A22" s="109" t="s">
        <v>192</v>
      </c>
      <c r="B22" s="145">
        <f t="shared" ref="B22:X22" si="6">+IF(B21=0,0,B21/(B16+B19))</f>
        <v>0</v>
      </c>
      <c r="C22" s="146">
        <f t="shared" si="6"/>
        <v>0</v>
      </c>
      <c r="D22" s="146">
        <f t="shared" si="6"/>
        <v>0</v>
      </c>
      <c r="E22" s="146">
        <f t="shared" si="6"/>
        <v>0</v>
      </c>
      <c r="F22" s="146">
        <f t="shared" si="6"/>
        <v>0</v>
      </c>
      <c r="G22" s="146">
        <f t="shared" si="6"/>
        <v>0</v>
      </c>
      <c r="H22" s="146">
        <f t="shared" si="6"/>
        <v>0</v>
      </c>
      <c r="I22" s="147"/>
      <c r="J22" s="146">
        <f t="shared" si="6"/>
        <v>0</v>
      </c>
      <c r="K22" s="146">
        <f t="shared" si="6"/>
        <v>0</v>
      </c>
      <c r="L22" s="146">
        <f t="shared" si="6"/>
        <v>0</v>
      </c>
      <c r="M22" s="146">
        <f t="shared" si="6"/>
        <v>0</v>
      </c>
      <c r="N22" s="146">
        <f t="shared" si="6"/>
        <v>0</v>
      </c>
      <c r="O22" s="146">
        <f t="shared" si="6"/>
        <v>0</v>
      </c>
      <c r="P22" s="146">
        <f t="shared" si="6"/>
        <v>0</v>
      </c>
      <c r="Q22" s="147"/>
      <c r="R22" s="146">
        <f t="shared" si="6"/>
        <v>0</v>
      </c>
      <c r="S22" s="146">
        <f t="shared" si="6"/>
        <v>0</v>
      </c>
      <c r="T22" s="146">
        <f t="shared" si="6"/>
        <v>0</v>
      </c>
      <c r="U22" s="146">
        <f t="shared" si="6"/>
        <v>0</v>
      </c>
      <c r="V22" s="146">
        <f t="shared" si="6"/>
        <v>0</v>
      </c>
      <c r="W22" s="146">
        <f t="shared" si="6"/>
        <v>0</v>
      </c>
      <c r="X22" s="146">
        <f t="shared" si="6"/>
        <v>0</v>
      </c>
      <c r="Y22" s="147"/>
      <c r="Z22" s="148"/>
      <c r="AA22" s="149"/>
      <c r="AB22" s="149"/>
      <c r="AC22" s="149"/>
      <c r="AD22" s="80"/>
      <c r="AE22" s="149"/>
    </row>
    <row r="23" spans="1:132">
      <c r="A23" s="170" t="s">
        <v>193</v>
      </c>
      <c r="B23" s="151">
        <v>1</v>
      </c>
      <c r="C23" s="152">
        <v>1</v>
      </c>
      <c r="D23" s="152">
        <v>1</v>
      </c>
      <c r="E23" s="152">
        <v>2</v>
      </c>
      <c r="F23" s="152">
        <v>3</v>
      </c>
      <c r="G23" s="152">
        <v>1</v>
      </c>
      <c r="H23" s="152">
        <v>1</v>
      </c>
      <c r="I23" s="153"/>
      <c r="J23" s="152">
        <v>4</v>
      </c>
      <c r="K23" s="152">
        <v>1</v>
      </c>
      <c r="L23" s="152">
        <v>1</v>
      </c>
      <c r="M23" s="152">
        <v>0</v>
      </c>
      <c r="N23" s="152">
        <v>1</v>
      </c>
      <c r="O23" s="152">
        <v>3</v>
      </c>
      <c r="P23" s="152">
        <v>1</v>
      </c>
      <c r="Q23" s="153"/>
      <c r="R23" s="152">
        <v>1</v>
      </c>
      <c r="S23" s="152">
        <v>2</v>
      </c>
      <c r="T23" s="152">
        <v>1</v>
      </c>
      <c r="U23" s="152">
        <v>3</v>
      </c>
      <c r="V23" s="152">
        <v>1</v>
      </c>
      <c r="W23" s="152">
        <v>1</v>
      </c>
      <c r="X23" s="152">
        <v>1</v>
      </c>
      <c r="Y23" s="153"/>
      <c r="Z23" s="154"/>
      <c r="AA23" s="149"/>
      <c r="AB23" s="149"/>
      <c r="AC23" s="149"/>
      <c r="AD23" s="80"/>
      <c r="AE23" s="149"/>
    </row>
    <row r="24" spans="1:132">
      <c r="A24" s="90" t="s">
        <v>194</v>
      </c>
      <c r="B24" s="157">
        <f>B23*(B19+B16)</f>
        <v>0</v>
      </c>
      <c r="C24" s="156">
        <f t="shared" ref="C24:X24" si="7">C23*(C19+C16)</f>
        <v>0</v>
      </c>
      <c r="D24" s="156">
        <f t="shared" si="7"/>
        <v>0</v>
      </c>
      <c r="E24" s="156">
        <f t="shared" si="7"/>
        <v>0</v>
      </c>
      <c r="F24" s="155">
        <f t="shared" si="7"/>
        <v>0</v>
      </c>
      <c r="G24" s="155">
        <f t="shared" si="7"/>
        <v>0</v>
      </c>
      <c r="H24" s="155">
        <f t="shared" si="7"/>
        <v>0</v>
      </c>
      <c r="I24" s="323"/>
      <c r="J24" s="155">
        <f t="shared" si="7"/>
        <v>0</v>
      </c>
      <c r="K24" s="155">
        <f t="shared" si="7"/>
        <v>0</v>
      </c>
      <c r="L24" s="155">
        <f t="shared" si="7"/>
        <v>0</v>
      </c>
      <c r="M24" s="155">
        <f t="shared" si="7"/>
        <v>0</v>
      </c>
      <c r="N24" s="155">
        <f t="shared" si="7"/>
        <v>0</v>
      </c>
      <c r="O24" s="155">
        <f t="shared" si="7"/>
        <v>0</v>
      </c>
      <c r="P24" s="155">
        <f t="shared" si="7"/>
        <v>0</v>
      </c>
      <c r="Q24" s="323"/>
      <c r="R24" s="155">
        <f t="shared" si="7"/>
        <v>0</v>
      </c>
      <c r="S24" s="155">
        <f t="shared" si="7"/>
        <v>0</v>
      </c>
      <c r="T24" s="155">
        <f t="shared" si="7"/>
        <v>0</v>
      </c>
      <c r="U24" s="156">
        <f t="shared" si="7"/>
        <v>0</v>
      </c>
      <c r="V24" s="156">
        <f t="shared" si="7"/>
        <v>0</v>
      </c>
      <c r="W24" s="156">
        <f t="shared" si="7"/>
        <v>0</v>
      </c>
      <c r="X24" s="156">
        <f t="shared" si="7"/>
        <v>0</v>
      </c>
      <c r="Y24" s="158"/>
      <c r="Z24" s="159"/>
      <c r="AA24" s="103"/>
      <c r="AB24" s="113">
        <f>SUM(B24:AA24)</f>
        <v>0</v>
      </c>
      <c r="AC24" s="160"/>
      <c r="AD24" s="80"/>
      <c r="AE24" s="160"/>
    </row>
    <row r="25" spans="1:132">
      <c r="A25" s="90"/>
      <c r="B25" s="157"/>
      <c r="C25" s="156"/>
      <c r="D25" s="156"/>
      <c r="E25" s="156"/>
      <c r="F25" s="156"/>
      <c r="G25" s="156"/>
      <c r="H25" s="156"/>
      <c r="I25" s="158"/>
      <c r="J25" s="156"/>
      <c r="K25" s="156"/>
      <c r="L25" s="156"/>
      <c r="M25" s="156"/>
      <c r="N25" s="156"/>
      <c r="O25" s="156"/>
      <c r="P25" s="156"/>
      <c r="Q25" s="158"/>
      <c r="R25" s="156"/>
      <c r="S25" s="156"/>
      <c r="T25" s="156"/>
      <c r="U25" s="156"/>
      <c r="V25" s="156"/>
      <c r="W25" s="156"/>
      <c r="X25" s="156"/>
      <c r="Y25" s="158"/>
      <c r="Z25" s="159"/>
      <c r="AA25" s="103"/>
      <c r="AB25" s="103"/>
      <c r="AC25" s="160"/>
      <c r="AD25" s="80"/>
      <c r="AE25" s="160"/>
    </row>
    <row r="26" spans="1:132">
      <c r="A26" s="161" t="s">
        <v>195</v>
      </c>
      <c r="B26" s="162">
        <f t="shared" ref="B26:X26" si="8">B24*B22</f>
        <v>0</v>
      </c>
      <c r="C26" s="163">
        <f t="shared" si="8"/>
        <v>0</v>
      </c>
      <c r="D26" s="163">
        <f t="shared" si="8"/>
        <v>0</v>
      </c>
      <c r="E26" s="163">
        <f t="shared" si="8"/>
        <v>0</v>
      </c>
      <c r="F26" s="163">
        <f t="shared" si="8"/>
        <v>0</v>
      </c>
      <c r="G26" s="163">
        <f t="shared" si="8"/>
        <v>0</v>
      </c>
      <c r="H26" s="163">
        <f t="shared" si="8"/>
        <v>0</v>
      </c>
      <c r="I26" s="164"/>
      <c r="J26" s="163">
        <f t="shared" si="8"/>
        <v>0</v>
      </c>
      <c r="K26" s="163">
        <f t="shared" si="8"/>
        <v>0</v>
      </c>
      <c r="L26" s="163">
        <f t="shared" si="8"/>
        <v>0</v>
      </c>
      <c r="M26" s="163">
        <f t="shared" si="8"/>
        <v>0</v>
      </c>
      <c r="N26" s="163">
        <f t="shared" si="8"/>
        <v>0</v>
      </c>
      <c r="O26" s="163">
        <f t="shared" si="8"/>
        <v>0</v>
      </c>
      <c r="P26" s="163">
        <f t="shared" si="8"/>
        <v>0</v>
      </c>
      <c r="Q26" s="164"/>
      <c r="R26" s="163">
        <f t="shared" si="8"/>
        <v>0</v>
      </c>
      <c r="S26" s="163">
        <f t="shared" si="8"/>
        <v>0</v>
      </c>
      <c r="T26" s="163">
        <f t="shared" si="8"/>
        <v>0</v>
      </c>
      <c r="U26" s="163">
        <f t="shared" si="8"/>
        <v>0</v>
      </c>
      <c r="V26" s="163">
        <f t="shared" si="8"/>
        <v>0</v>
      </c>
      <c r="W26" s="163">
        <f t="shared" si="8"/>
        <v>0</v>
      </c>
      <c r="X26" s="163">
        <f t="shared" si="8"/>
        <v>0</v>
      </c>
      <c r="Y26" s="164"/>
      <c r="Z26" s="165"/>
      <c r="AA26" s="166"/>
      <c r="AB26" s="167">
        <f>SUM(B26:AA26)</f>
        <v>0</v>
      </c>
      <c r="AC26" s="303"/>
      <c r="AD26" s="80"/>
      <c r="AE26" s="160"/>
    </row>
    <row r="27" spans="1:132">
      <c r="A27" s="161" t="s">
        <v>196</v>
      </c>
      <c r="B27" s="157">
        <f>B66+B67</f>
        <v>0</v>
      </c>
      <c r="C27" s="156">
        <f t="shared" ref="C27:M27" si="9">C66+C67</f>
        <v>0</v>
      </c>
      <c r="D27" s="156">
        <f t="shared" si="9"/>
        <v>0</v>
      </c>
      <c r="E27" s="156">
        <f t="shared" si="9"/>
        <v>0</v>
      </c>
      <c r="F27" s="156">
        <f t="shared" si="9"/>
        <v>0</v>
      </c>
      <c r="G27" s="156">
        <f t="shared" si="9"/>
        <v>0</v>
      </c>
      <c r="H27" s="156">
        <f t="shared" si="9"/>
        <v>0</v>
      </c>
      <c r="I27" s="158"/>
      <c r="J27" s="156">
        <f t="shared" si="9"/>
        <v>0</v>
      </c>
      <c r="K27" s="156">
        <f t="shared" si="9"/>
        <v>0</v>
      </c>
      <c r="L27" s="156">
        <f t="shared" si="9"/>
        <v>0</v>
      </c>
      <c r="M27" s="156">
        <f t="shared" si="9"/>
        <v>0</v>
      </c>
      <c r="N27" s="156">
        <f>N66+N67</f>
        <v>0</v>
      </c>
      <c r="O27" s="156">
        <f t="shared" ref="O27:S27" si="10">O66+O67</f>
        <v>0</v>
      </c>
      <c r="P27" s="156">
        <f t="shared" si="10"/>
        <v>0</v>
      </c>
      <c r="Q27" s="158"/>
      <c r="R27" s="156">
        <f t="shared" si="10"/>
        <v>0</v>
      </c>
      <c r="S27" s="156">
        <f t="shared" si="10"/>
        <v>0</v>
      </c>
      <c r="T27" s="156">
        <f>T66+T67</f>
        <v>0</v>
      </c>
      <c r="U27" s="156">
        <f t="shared" ref="U27:W27" si="11">U66+U67</f>
        <v>0</v>
      </c>
      <c r="V27" s="156">
        <f t="shared" si="11"/>
        <v>0</v>
      </c>
      <c r="W27" s="156">
        <f t="shared" si="11"/>
        <v>0</v>
      </c>
      <c r="X27" s="156">
        <f>X66+X67</f>
        <v>0</v>
      </c>
      <c r="Y27" s="158"/>
      <c r="Z27" s="159"/>
      <c r="AA27" s="103"/>
      <c r="AB27" s="113"/>
      <c r="AC27" s="303"/>
      <c r="AD27" s="80"/>
      <c r="AE27" s="160"/>
    </row>
    <row r="28" spans="1:132">
      <c r="A28" s="161" t="s">
        <v>197</v>
      </c>
      <c r="B28" s="157">
        <f t="shared" ref="B28:X28" si="12">-B26/6</f>
        <v>0</v>
      </c>
      <c r="C28" s="156">
        <f t="shared" si="12"/>
        <v>0</v>
      </c>
      <c r="D28" s="156">
        <f t="shared" si="12"/>
        <v>0</v>
      </c>
      <c r="E28" s="156">
        <f t="shared" si="12"/>
        <v>0</v>
      </c>
      <c r="F28" s="156">
        <f t="shared" si="12"/>
        <v>0</v>
      </c>
      <c r="G28" s="156">
        <f t="shared" si="12"/>
        <v>0</v>
      </c>
      <c r="H28" s="156">
        <f t="shared" si="12"/>
        <v>0</v>
      </c>
      <c r="I28" s="158"/>
      <c r="J28" s="156">
        <f t="shared" si="12"/>
        <v>0</v>
      </c>
      <c r="K28" s="156">
        <f t="shared" si="12"/>
        <v>0</v>
      </c>
      <c r="L28" s="156">
        <f t="shared" si="12"/>
        <v>0</v>
      </c>
      <c r="M28" s="156">
        <f t="shared" si="12"/>
        <v>0</v>
      </c>
      <c r="N28" s="156">
        <f t="shared" si="12"/>
        <v>0</v>
      </c>
      <c r="O28" s="156">
        <f t="shared" si="12"/>
        <v>0</v>
      </c>
      <c r="P28" s="156">
        <f t="shared" si="12"/>
        <v>0</v>
      </c>
      <c r="Q28" s="158"/>
      <c r="R28" s="156">
        <f t="shared" si="12"/>
        <v>0</v>
      </c>
      <c r="S28" s="156">
        <f t="shared" si="12"/>
        <v>0</v>
      </c>
      <c r="T28" s="156">
        <f t="shared" si="12"/>
        <v>0</v>
      </c>
      <c r="U28" s="156">
        <f t="shared" si="12"/>
        <v>0</v>
      </c>
      <c r="V28" s="156">
        <f t="shared" si="12"/>
        <v>0</v>
      </c>
      <c r="W28" s="156">
        <f t="shared" si="12"/>
        <v>0</v>
      </c>
      <c r="X28" s="156">
        <f t="shared" si="12"/>
        <v>0</v>
      </c>
      <c r="Y28" s="158"/>
      <c r="Z28" s="159"/>
      <c r="AA28" s="103"/>
      <c r="AB28" s="113">
        <f>SUM(B28:AA28)</f>
        <v>0</v>
      </c>
      <c r="AC28" s="303"/>
      <c r="AD28" s="80"/>
      <c r="AE28" s="160"/>
    </row>
    <row r="29" spans="1:132" s="176" customFormat="1">
      <c r="A29" s="312" t="s">
        <v>198</v>
      </c>
      <c r="B29" s="313">
        <f>+B26+B27+B28</f>
        <v>0</v>
      </c>
      <c r="C29" s="314">
        <f t="shared" ref="C29:W29" si="13">+C26+C27+C28</f>
        <v>0</v>
      </c>
      <c r="D29" s="314">
        <f t="shared" si="13"/>
        <v>0</v>
      </c>
      <c r="E29" s="314">
        <f t="shared" si="13"/>
        <v>0</v>
      </c>
      <c r="F29" s="314">
        <f t="shared" si="13"/>
        <v>0</v>
      </c>
      <c r="G29" s="314">
        <f t="shared" si="13"/>
        <v>0</v>
      </c>
      <c r="H29" s="314">
        <f t="shared" si="13"/>
        <v>0</v>
      </c>
      <c r="I29" s="314">
        <f t="shared" si="13"/>
        <v>0</v>
      </c>
      <c r="J29" s="314">
        <f t="shared" si="13"/>
        <v>0</v>
      </c>
      <c r="K29" s="314">
        <f t="shared" si="13"/>
        <v>0</v>
      </c>
      <c r="L29" s="314">
        <f t="shared" si="13"/>
        <v>0</v>
      </c>
      <c r="M29" s="314">
        <f t="shared" si="13"/>
        <v>0</v>
      </c>
      <c r="N29" s="314">
        <f>+N26+N27+N28</f>
        <v>0</v>
      </c>
      <c r="O29" s="314">
        <f t="shared" si="13"/>
        <v>0</v>
      </c>
      <c r="P29" s="314">
        <f t="shared" si="13"/>
        <v>0</v>
      </c>
      <c r="Q29" s="315"/>
      <c r="R29" s="314">
        <f t="shared" si="13"/>
        <v>0</v>
      </c>
      <c r="S29" s="314">
        <f t="shared" si="13"/>
        <v>0</v>
      </c>
      <c r="T29" s="314">
        <f>+T26+T27+T28</f>
        <v>0</v>
      </c>
      <c r="U29" s="314">
        <f t="shared" si="13"/>
        <v>0</v>
      </c>
      <c r="V29" s="314">
        <f t="shared" si="13"/>
        <v>0</v>
      </c>
      <c r="W29" s="314">
        <f t="shared" si="13"/>
        <v>0</v>
      </c>
      <c r="X29" s="314">
        <f>+X26+X27+X28</f>
        <v>0</v>
      </c>
      <c r="Y29" s="315">
        <f>+Y26+Y27+Y28</f>
        <v>0</v>
      </c>
      <c r="Z29" s="316"/>
      <c r="AA29" s="244"/>
      <c r="AB29" s="244">
        <f>SUM(AB26:AB28)</f>
        <v>0</v>
      </c>
      <c r="AC29" s="308">
        <f>Summary!O22</f>
        <v>13350</v>
      </c>
      <c r="AD29" s="309">
        <f>AB29-AC29</f>
        <v>-13350</v>
      </c>
      <c r="AE29" s="338"/>
    </row>
    <row r="30" spans="1:132">
      <c r="A30" s="168" t="s">
        <v>199</v>
      </c>
      <c r="B30" s="157"/>
      <c r="C30" s="156"/>
      <c r="D30" s="156"/>
      <c r="E30" s="156"/>
      <c r="F30" s="156"/>
      <c r="G30" s="156"/>
      <c r="H30" s="156"/>
      <c r="I30" s="158"/>
      <c r="J30" s="156"/>
      <c r="K30" s="156"/>
      <c r="L30" s="156"/>
      <c r="M30" s="156"/>
      <c r="N30" s="156"/>
      <c r="O30" s="156"/>
      <c r="P30" s="156"/>
      <c r="Q30" s="158"/>
      <c r="R30" s="156"/>
      <c r="S30" s="156"/>
      <c r="T30" s="156"/>
      <c r="U30" s="156"/>
      <c r="V30" s="156"/>
      <c r="W30" s="156"/>
      <c r="X30" s="156"/>
      <c r="Y30" s="158"/>
      <c r="Z30" s="159"/>
      <c r="AA30" s="103"/>
      <c r="AB30" s="113"/>
      <c r="AC30" s="302"/>
      <c r="AD30" s="307"/>
      <c r="AE30" s="160"/>
    </row>
    <row r="31" spans="1:132" s="176" customFormat="1">
      <c r="A31" s="312" t="s">
        <v>239</v>
      </c>
      <c r="B31" s="312">
        <v>0</v>
      </c>
      <c r="C31" s="319">
        <v>0</v>
      </c>
      <c r="D31" s="319">
        <v>0</v>
      </c>
      <c r="E31" s="319">
        <v>0</v>
      </c>
      <c r="F31" s="319">
        <v>0</v>
      </c>
      <c r="G31" s="319">
        <v>0</v>
      </c>
      <c r="H31" s="319">
        <v>0</v>
      </c>
      <c r="I31" s="320"/>
      <c r="J31" s="319">
        <v>0</v>
      </c>
      <c r="K31" s="319">
        <v>0</v>
      </c>
      <c r="L31" s="319">
        <v>0</v>
      </c>
      <c r="M31" s="319">
        <v>0</v>
      </c>
      <c r="N31" s="319">
        <v>0</v>
      </c>
      <c r="O31" s="319">
        <v>0</v>
      </c>
      <c r="P31" s="319">
        <v>0</v>
      </c>
      <c r="Q31" s="320"/>
      <c r="R31" s="319">
        <v>0</v>
      </c>
      <c r="S31" s="319">
        <v>0</v>
      </c>
      <c r="T31" s="319">
        <v>0</v>
      </c>
      <c r="U31" s="319">
        <v>0</v>
      </c>
      <c r="V31" s="319">
        <v>0</v>
      </c>
      <c r="W31" s="319">
        <v>0</v>
      </c>
      <c r="X31" s="319">
        <v>0</v>
      </c>
      <c r="Y31" s="320"/>
      <c r="Z31" s="321"/>
      <c r="AA31" s="245"/>
      <c r="AB31" s="245">
        <f>SUM(B31:AA31)</f>
        <v>0</v>
      </c>
      <c r="AC31" s="310">
        <f>Summary!B22</f>
        <v>40800</v>
      </c>
      <c r="AD31" s="317">
        <f>SUM(AC31-AB31)</f>
        <v>40800</v>
      </c>
      <c r="AE31" s="339"/>
    </row>
    <row r="32" spans="1:132">
      <c r="A32" s="170" t="s">
        <v>201</v>
      </c>
      <c r="B32" s="157">
        <f t="shared" ref="B32:X32" si="14">+B69</f>
        <v>0</v>
      </c>
      <c r="C32" s="156">
        <f t="shared" si="14"/>
        <v>0</v>
      </c>
      <c r="D32" s="156">
        <f t="shared" si="14"/>
        <v>0</v>
      </c>
      <c r="E32" s="156">
        <f t="shared" si="14"/>
        <v>0</v>
      </c>
      <c r="F32" s="156">
        <f t="shared" si="14"/>
        <v>0</v>
      </c>
      <c r="G32" s="156">
        <f t="shared" si="14"/>
        <v>0</v>
      </c>
      <c r="H32" s="156">
        <f t="shared" si="14"/>
        <v>0</v>
      </c>
      <c r="I32" s="158"/>
      <c r="J32" s="156">
        <f t="shared" si="14"/>
        <v>0</v>
      </c>
      <c r="K32" s="156">
        <f t="shared" si="14"/>
        <v>0</v>
      </c>
      <c r="L32" s="156">
        <f t="shared" si="14"/>
        <v>0</v>
      </c>
      <c r="M32" s="156">
        <f t="shared" si="14"/>
        <v>0</v>
      </c>
      <c r="N32" s="156">
        <f t="shared" si="14"/>
        <v>0</v>
      </c>
      <c r="O32" s="156">
        <f t="shared" si="14"/>
        <v>0</v>
      </c>
      <c r="P32" s="156">
        <f t="shared" si="14"/>
        <v>0</v>
      </c>
      <c r="Q32" s="158"/>
      <c r="R32" s="156">
        <f t="shared" si="14"/>
        <v>0</v>
      </c>
      <c r="S32" s="156">
        <f t="shared" si="14"/>
        <v>0</v>
      </c>
      <c r="T32" s="156">
        <f t="shared" si="14"/>
        <v>0</v>
      </c>
      <c r="U32" s="156">
        <f t="shared" si="14"/>
        <v>0</v>
      </c>
      <c r="V32" s="156">
        <f t="shared" si="14"/>
        <v>0</v>
      </c>
      <c r="W32" s="156">
        <f t="shared" si="14"/>
        <v>0</v>
      </c>
      <c r="X32" s="156">
        <f t="shared" si="14"/>
        <v>0</v>
      </c>
      <c r="Y32" s="158"/>
      <c r="Z32" s="159"/>
      <c r="AA32" s="103"/>
      <c r="AB32" s="113">
        <f>SUM(B32:AA32)</f>
        <v>0</v>
      </c>
      <c r="AC32" s="303"/>
      <c r="AD32" s="306">
        <f>SUM(AC32-AB32)</f>
        <v>0</v>
      </c>
      <c r="AE32" s="160"/>
    </row>
    <row r="33" spans="1:31">
      <c r="A33" s="170"/>
      <c r="B33" s="157"/>
      <c r="C33" s="156"/>
      <c r="D33" s="156"/>
      <c r="E33" s="156"/>
      <c r="F33" s="156"/>
      <c r="G33" s="156"/>
      <c r="H33" s="156"/>
      <c r="I33" s="158"/>
      <c r="J33" s="156"/>
      <c r="K33" s="156"/>
      <c r="L33" s="156"/>
      <c r="M33" s="156"/>
      <c r="N33" s="156"/>
      <c r="O33" s="156"/>
      <c r="P33" s="156"/>
      <c r="Q33" s="158"/>
      <c r="R33" s="156"/>
      <c r="S33" s="156"/>
      <c r="T33" s="156"/>
      <c r="U33" s="156"/>
      <c r="V33" s="156"/>
      <c r="W33" s="156"/>
      <c r="X33" s="156"/>
      <c r="Y33" s="158"/>
      <c r="Z33" s="159"/>
      <c r="AA33" s="103"/>
      <c r="AB33" s="113"/>
      <c r="AC33" s="303"/>
      <c r="AD33" s="306"/>
      <c r="AE33" s="160"/>
    </row>
    <row r="34" spans="1:31">
      <c r="A34" s="224" t="str">
        <f>'Area Festivals'!A99</f>
        <v>Venue Hire (per venue)</v>
      </c>
      <c r="B34" s="170">
        <v>0</v>
      </c>
      <c r="C34" s="155">
        <v>0</v>
      </c>
      <c r="D34" s="155">
        <v>0</v>
      </c>
      <c r="E34" s="155">
        <v>0</v>
      </c>
      <c r="F34" s="155">
        <v>0</v>
      </c>
      <c r="G34" s="155">
        <v>0</v>
      </c>
      <c r="H34" s="155">
        <v>0</v>
      </c>
      <c r="I34" s="323">
        <v>0</v>
      </c>
      <c r="J34" s="155">
        <v>0</v>
      </c>
      <c r="K34" s="155">
        <v>0</v>
      </c>
      <c r="L34" s="155">
        <v>0</v>
      </c>
      <c r="M34" s="155">
        <v>0</v>
      </c>
      <c r="N34" s="155">
        <v>0</v>
      </c>
      <c r="O34" s="155">
        <v>0</v>
      </c>
      <c r="P34" s="155">
        <v>0</v>
      </c>
      <c r="Q34" s="323">
        <v>0</v>
      </c>
      <c r="R34" s="155">
        <v>0</v>
      </c>
      <c r="S34" s="155">
        <v>0</v>
      </c>
      <c r="T34" s="155">
        <v>0</v>
      </c>
      <c r="U34" s="155">
        <v>0</v>
      </c>
      <c r="V34" s="155">
        <v>0</v>
      </c>
      <c r="W34" s="155">
        <v>0</v>
      </c>
      <c r="X34" s="155">
        <v>0</v>
      </c>
      <c r="Y34" s="323">
        <v>0</v>
      </c>
      <c r="Z34" s="324"/>
      <c r="AA34" s="103"/>
      <c r="AB34" s="113">
        <f t="shared" ref="AB34:AB39" si="15">SUM(B34:AA34)</f>
        <v>0</v>
      </c>
      <c r="AC34" s="303">
        <f>'Area Festivals'!L99</f>
        <v>2500</v>
      </c>
      <c r="AD34" s="306">
        <f t="shared" ref="AD34:AD39" si="16">SUM(AC34-AB34)</f>
        <v>2500</v>
      </c>
      <c r="AE34" s="160"/>
    </row>
    <row r="35" spans="1:31">
      <c r="A35" s="335" t="str">
        <f>'Area Festivals'!A100</f>
        <v xml:space="preserve">Venue Technical Hires  </v>
      </c>
      <c r="B35" s="327">
        <v>0</v>
      </c>
      <c r="C35" s="155">
        <v>0</v>
      </c>
      <c r="D35" s="327">
        <v>0</v>
      </c>
      <c r="E35" s="327">
        <v>0</v>
      </c>
      <c r="F35" s="327">
        <v>0</v>
      </c>
      <c r="G35" s="327">
        <v>0</v>
      </c>
      <c r="H35" s="327">
        <v>0</v>
      </c>
      <c r="I35" s="390">
        <v>0</v>
      </c>
      <c r="J35" s="327">
        <v>0</v>
      </c>
      <c r="K35" s="327">
        <v>0</v>
      </c>
      <c r="L35" s="327">
        <v>0</v>
      </c>
      <c r="M35" s="327">
        <v>0</v>
      </c>
      <c r="N35" s="155">
        <v>0</v>
      </c>
      <c r="O35" s="155">
        <v>0</v>
      </c>
      <c r="P35" s="155">
        <v>0</v>
      </c>
      <c r="Q35" s="323">
        <v>0</v>
      </c>
      <c r="R35" s="155">
        <v>0</v>
      </c>
      <c r="S35" s="155">
        <v>0</v>
      </c>
      <c r="T35" s="155">
        <v>0</v>
      </c>
      <c r="U35" s="155">
        <v>0</v>
      </c>
      <c r="V35" s="155">
        <v>0</v>
      </c>
      <c r="W35" s="155">
        <v>0</v>
      </c>
      <c r="X35" s="155">
        <v>0</v>
      </c>
      <c r="Y35" s="323">
        <v>0</v>
      </c>
      <c r="Z35" s="394">
        <v>0</v>
      </c>
      <c r="AA35" s="103"/>
      <c r="AB35" s="113">
        <f t="shared" si="15"/>
        <v>0</v>
      </c>
      <c r="AC35" s="303">
        <f>'Area Festivals'!L100</f>
        <v>7500</v>
      </c>
      <c r="AD35" s="306">
        <f t="shared" si="16"/>
        <v>7500</v>
      </c>
      <c r="AE35" s="160"/>
    </row>
    <row r="36" spans="1:31">
      <c r="A36" s="335" t="str">
        <f>'Area Festivals'!A101</f>
        <v>Dressing Room / Green Room Set Up / Artist Liaison</v>
      </c>
      <c r="B36" s="155">
        <v>0</v>
      </c>
      <c r="C36" s="155">
        <v>0</v>
      </c>
      <c r="D36" s="155">
        <v>0</v>
      </c>
      <c r="E36" s="155">
        <v>0</v>
      </c>
      <c r="F36" s="155">
        <v>0</v>
      </c>
      <c r="G36" s="155">
        <v>0</v>
      </c>
      <c r="H36" s="155">
        <v>0</v>
      </c>
      <c r="I36" s="323">
        <v>0</v>
      </c>
      <c r="J36" s="155">
        <v>0</v>
      </c>
      <c r="K36" s="155">
        <v>0</v>
      </c>
      <c r="L36" s="155">
        <v>0</v>
      </c>
      <c r="M36" s="155">
        <v>0</v>
      </c>
      <c r="N36" s="155">
        <v>0</v>
      </c>
      <c r="O36" s="155">
        <v>0</v>
      </c>
      <c r="P36" s="155">
        <v>0</v>
      </c>
      <c r="Q36" s="323">
        <v>0</v>
      </c>
      <c r="R36" s="155">
        <v>0</v>
      </c>
      <c r="S36" s="155">
        <v>0</v>
      </c>
      <c r="T36" s="155">
        <v>0</v>
      </c>
      <c r="U36" s="155">
        <v>0</v>
      </c>
      <c r="V36" s="155">
        <v>0</v>
      </c>
      <c r="W36" s="155">
        <v>0</v>
      </c>
      <c r="X36" s="155">
        <v>0</v>
      </c>
      <c r="Y36" s="323">
        <v>0</v>
      </c>
      <c r="Z36" s="324"/>
      <c r="AA36" s="103"/>
      <c r="AB36" s="113">
        <f t="shared" si="15"/>
        <v>0</v>
      </c>
      <c r="AC36" s="303">
        <f>'Area Festivals'!L101</f>
        <v>600</v>
      </c>
      <c r="AD36" s="306">
        <f t="shared" si="16"/>
        <v>600</v>
      </c>
      <c r="AE36" s="160"/>
    </row>
    <row r="37" spans="1:31">
      <c r="A37" s="336" t="str">
        <f>'Area Festivals'!A102</f>
        <v>Transport</v>
      </c>
      <c r="B37" s="155">
        <v>0</v>
      </c>
      <c r="C37" s="155">
        <v>0</v>
      </c>
      <c r="D37" s="155">
        <v>0</v>
      </c>
      <c r="E37" s="155">
        <v>0</v>
      </c>
      <c r="F37" s="155">
        <v>0</v>
      </c>
      <c r="G37" s="155">
        <v>0</v>
      </c>
      <c r="H37" s="155">
        <v>0</v>
      </c>
      <c r="I37" s="323">
        <v>0</v>
      </c>
      <c r="J37" s="155">
        <v>0</v>
      </c>
      <c r="K37" s="155">
        <v>0</v>
      </c>
      <c r="L37" s="155">
        <v>0</v>
      </c>
      <c r="M37" s="155">
        <v>0</v>
      </c>
      <c r="N37" s="155">
        <v>0</v>
      </c>
      <c r="O37" s="155">
        <v>0</v>
      </c>
      <c r="P37" s="155">
        <v>0</v>
      </c>
      <c r="Q37" s="323">
        <v>0</v>
      </c>
      <c r="R37" s="155">
        <v>0</v>
      </c>
      <c r="S37" s="155">
        <v>0</v>
      </c>
      <c r="T37" s="155">
        <v>0</v>
      </c>
      <c r="U37" s="155">
        <v>0</v>
      </c>
      <c r="V37" s="155">
        <v>0</v>
      </c>
      <c r="W37" s="155">
        <v>0</v>
      </c>
      <c r="X37" s="155">
        <v>0</v>
      </c>
      <c r="Y37" s="323">
        <v>0</v>
      </c>
      <c r="Z37" s="394">
        <v>0</v>
      </c>
      <c r="AA37" s="103"/>
      <c r="AB37" s="113">
        <f>SUM(B37:AA37)</f>
        <v>0</v>
      </c>
      <c r="AC37" s="303">
        <f>'Area Festivals'!L102</f>
        <v>2500</v>
      </c>
      <c r="AD37" s="306">
        <f t="shared" si="16"/>
        <v>2500</v>
      </c>
      <c r="AE37" s="160"/>
    </row>
    <row r="38" spans="1:31">
      <c r="A38" s="336" t="str">
        <f>'Area Festivals'!A103</f>
        <v>Duty of Care/First Aid</v>
      </c>
      <c r="B38" s="155">
        <v>0</v>
      </c>
      <c r="C38" s="155">
        <v>0</v>
      </c>
      <c r="D38" s="155">
        <v>0</v>
      </c>
      <c r="E38" s="155">
        <v>0</v>
      </c>
      <c r="F38" s="155">
        <v>0</v>
      </c>
      <c r="G38" s="155">
        <v>0</v>
      </c>
      <c r="H38" s="155">
        <v>0</v>
      </c>
      <c r="I38" s="323">
        <v>0</v>
      </c>
      <c r="J38" s="155">
        <v>0</v>
      </c>
      <c r="K38" s="155">
        <v>0</v>
      </c>
      <c r="L38" s="155">
        <v>0</v>
      </c>
      <c r="M38" s="155">
        <v>0</v>
      </c>
      <c r="N38" s="155">
        <v>0</v>
      </c>
      <c r="O38" s="155">
        <v>0</v>
      </c>
      <c r="P38" s="155">
        <v>0</v>
      </c>
      <c r="Q38" s="323">
        <v>0</v>
      </c>
      <c r="R38" s="155">
        <v>0</v>
      </c>
      <c r="S38" s="155">
        <v>0</v>
      </c>
      <c r="T38" s="155">
        <v>0</v>
      </c>
      <c r="U38" s="155">
        <v>0</v>
      </c>
      <c r="V38" s="155">
        <v>0</v>
      </c>
      <c r="W38" s="155">
        <v>0</v>
      </c>
      <c r="X38" s="155">
        <v>0</v>
      </c>
      <c r="Y38" s="323">
        <v>0</v>
      </c>
      <c r="Z38" s="324"/>
      <c r="AA38" s="103"/>
      <c r="AB38" s="113">
        <f t="shared" si="15"/>
        <v>0</v>
      </c>
      <c r="AC38" s="303">
        <f>'Area Festivals'!L103</f>
        <v>1800</v>
      </c>
      <c r="AD38" s="306">
        <f t="shared" si="16"/>
        <v>1800</v>
      </c>
      <c r="AE38" s="160"/>
    </row>
    <row r="39" spans="1:31">
      <c r="A39" s="336" t="str">
        <f>'Area Festivals'!A104</f>
        <v>Security</v>
      </c>
      <c r="B39" s="155">
        <v>0</v>
      </c>
      <c r="C39" s="155">
        <v>0</v>
      </c>
      <c r="D39" s="155">
        <v>0</v>
      </c>
      <c r="E39" s="155">
        <v>0</v>
      </c>
      <c r="F39" s="155">
        <v>0</v>
      </c>
      <c r="G39" s="155">
        <v>0</v>
      </c>
      <c r="H39" s="155">
        <v>0</v>
      </c>
      <c r="I39" s="323">
        <v>0</v>
      </c>
      <c r="J39" s="155">
        <v>0</v>
      </c>
      <c r="K39" s="155">
        <v>0</v>
      </c>
      <c r="L39" s="155">
        <v>0</v>
      </c>
      <c r="M39" s="155">
        <v>0</v>
      </c>
      <c r="N39" s="155">
        <v>0</v>
      </c>
      <c r="O39" s="155">
        <v>0</v>
      </c>
      <c r="P39" s="155">
        <v>0</v>
      </c>
      <c r="Q39" s="323">
        <v>0</v>
      </c>
      <c r="R39" s="155">
        <v>0</v>
      </c>
      <c r="S39" s="155">
        <v>0</v>
      </c>
      <c r="T39" s="155">
        <v>0</v>
      </c>
      <c r="U39" s="155">
        <v>0</v>
      </c>
      <c r="V39" s="155">
        <v>0</v>
      </c>
      <c r="W39" s="155">
        <v>0</v>
      </c>
      <c r="X39" s="155">
        <v>0</v>
      </c>
      <c r="Y39" s="323">
        <v>0</v>
      </c>
      <c r="Z39" s="324"/>
      <c r="AA39" s="103"/>
      <c r="AB39" s="113">
        <f t="shared" si="15"/>
        <v>0</v>
      </c>
      <c r="AC39" s="303">
        <f>'Area Festivals'!L104+'Area Festivals'!L127</f>
        <v>0</v>
      </c>
      <c r="AD39" s="306">
        <f t="shared" si="16"/>
        <v>0</v>
      </c>
      <c r="AE39" s="160"/>
    </row>
    <row r="40" spans="1:31">
      <c r="A40" s="336"/>
      <c r="B40" s="155"/>
      <c r="C40" s="155"/>
      <c r="D40" s="155"/>
      <c r="E40" s="155"/>
      <c r="F40" s="155"/>
      <c r="G40" s="155"/>
      <c r="H40" s="155"/>
      <c r="I40" s="323"/>
      <c r="J40" s="155"/>
      <c r="K40" s="155"/>
      <c r="L40" s="155"/>
      <c r="M40" s="155"/>
      <c r="N40" s="155"/>
      <c r="O40" s="155"/>
      <c r="P40" s="155"/>
      <c r="Q40" s="323"/>
      <c r="R40" s="155"/>
      <c r="S40" s="155"/>
      <c r="T40" s="155"/>
      <c r="U40" s="155"/>
      <c r="V40" s="155"/>
      <c r="W40" s="155"/>
      <c r="X40" s="155"/>
      <c r="Y40" s="323"/>
      <c r="Z40" s="324"/>
      <c r="AA40" s="103"/>
      <c r="AB40" s="113"/>
      <c r="AC40" s="303"/>
      <c r="AD40" s="306"/>
      <c r="AE40" s="160"/>
    </row>
    <row r="41" spans="1:31">
      <c r="A41" s="170" t="s">
        <v>202</v>
      </c>
      <c r="B41" s="170">
        <v>0</v>
      </c>
      <c r="C41" s="155">
        <v>0</v>
      </c>
      <c r="D41" s="155">
        <v>0</v>
      </c>
      <c r="E41" s="155">
        <v>0</v>
      </c>
      <c r="F41" s="155">
        <v>0</v>
      </c>
      <c r="G41" s="155">
        <v>0</v>
      </c>
      <c r="H41" s="155">
        <v>0</v>
      </c>
      <c r="I41" s="323">
        <v>0</v>
      </c>
      <c r="J41" s="155">
        <v>0</v>
      </c>
      <c r="K41" s="155">
        <v>0</v>
      </c>
      <c r="L41" s="155">
        <v>0</v>
      </c>
      <c r="M41" s="155">
        <v>0</v>
      </c>
      <c r="N41" s="155">
        <v>0</v>
      </c>
      <c r="O41" s="155">
        <v>0</v>
      </c>
      <c r="P41" s="155">
        <v>0</v>
      </c>
      <c r="Q41" s="323">
        <v>0</v>
      </c>
      <c r="R41" s="155">
        <v>0</v>
      </c>
      <c r="S41" s="155">
        <v>0</v>
      </c>
      <c r="T41" s="155">
        <v>0</v>
      </c>
      <c r="U41" s="155">
        <v>0</v>
      </c>
      <c r="V41" s="155">
        <v>0</v>
      </c>
      <c r="W41" s="155">
        <v>0</v>
      </c>
      <c r="X41" s="155">
        <v>0</v>
      </c>
      <c r="Y41" s="323">
        <v>0</v>
      </c>
      <c r="Z41" s="324">
        <v>0</v>
      </c>
      <c r="AA41" s="103"/>
      <c r="AB41" s="113">
        <f>SUM(B41:AA41)</f>
        <v>0</v>
      </c>
      <c r="AC41" s="303">
        <f>'Area Festivals'!L108+'Area Festivals'!L110</f>
        <v>3600</v>
      </c>
      <c r="AD41" s="306">
        <f>SUM(AC41-AB41)</f>
        <v>3600</v>
      </c>
      <c r="AE41" s="160"/>
    </row>
    <row r="42" spans="1:31">
      <c r="A42" s="170" t="str">
        <f>'Area Festivals'!A109</f>
        <v>Crew (x2)</v>
      </c>
      <c r="B42" s="170">
        <v>0</v>
      </c>
      <c r="C42" s="155">
        <v>0</v>
      </c>
      <c r="D42" s="155">
        <v>0</v>
      </c>
      <c r="E42" s="155">
        <v>0</v>
      </c>
      <c r="F42" s="155">
        <v>0</v>
      </c>
      <c r="G42" s="155">
        <v>0</v>
      </c>
      <c r="H42" s="155">
        <v>0</v>
      </c>
      <c r="I42" s="323">
        <v>0</v>
      </c>
      <c r="J42" s="155">
        <v>0</v>
      </c>
      <c r="K42" s="155">
        <v>0</v>
      </c>
      <c r="L42" s="155">
        <v>0</v>
      </c>
      <c r="M42" s="155">
        <v>0</v>
      </c>
      <c r="N42" s="155">
        <v>0</v>
      </c>
      <c r="O42" s="155">
        <v>0</v>
      </c>
      <c r="P42" s="155">
        <v>0</v>
      </c>
      <c r="Q42" s="323">
        <v>0</v>
      </c>
      <c r="R42" s="155">
        <v>0</v>
      </c>
      <c r="S42" s="155">
        <v>0</v>
      </c>
      <c r="T42" s="155">
        <v>0</v>
      </c>
      <c r="U42" s="155">
        <v>0</v>
      </c>
      <c r="V42" s="155">
        <v>0</v>
      </c>
      <c r="W42" s="155">
        <v>0</v>
      </c>
      <c r="X42" s="155">
        <v>0</v>
      </c>
      <c r="Y42" s="323">
        <v>0</v>
      </c>
      <c r="Z42" s="324">
        <v>0</v>
      </c>
      <c r="AA42" s="103"/>
      <c r="AB42" s="113">
        <f>SUM(B42:AA42)</f>
        <v>0</v>
      </c>
      <c r="AC42" s="303">
        <f>'Area Festivals'!L109</f>
        <v>3600</v>
      </c>
      <c r="AD42" s="306">
        <f>SUM(AC42-AB42)</f>
        <v>3600</v>
      </c>
      <c r="AE42" s="160"/>
    </row>
    <row r="43" spans="1:31">
      <c r="A43" s="170" t="s">
        <v>203</v>
      </c>
      <c r="B43" s="170">
        <f t="shared" ref="B43:X43" si="17">+B82</f>
        <v>136</v>
      </c>
      <c r="C43" s="155">
        <f t="shared" si="17"/>
        <v>104</v>
      </c>
      <c r="D43" s="155">
        <f t="shared" si="17"/>
        <v>136</v>
      </c>
      <c r="E43" s="155">
        <f t="shared" si="17"/>
        <v>192</v>
      </c>
      <c r="F43" s="155">
        <f t="shared" si="17"/>
        <v>300</v>
      </c>
      <c r="G43" s="155">
        <f t="shared" si="17"/>
        <v>136</v>
      </c>
      <c r="H43" s="155">
        <f t="shared" si="17"/>
        <v>0</v>
      </c>
      <c r="I43" s="323"/>
      <c r="J43" s="155">
        <f t="shared" si="17"/>
        <v>384</v>
      </c>
      <c r="K43" s="155">
        <f t="shared" si="17"/>
        <v>136</v>
      </c>
      <c r="L43" s="155">
        <f t="shared" si="17"/>
        <v>136</v>
      </c>
      <c r="M43" s="155">
        <f t="shared" si="17"/>
        <v>0</v>
      </c>
      <c r="N43" s="155">
        <f t="shared" si="17"/>
        <v>136</v>
      </c>
      <c r="O43" s="155">
        <f t="shared" si="17"/>
        <v>300</v>
      </c>
      <c r="P43" s="155">
        <f t="shared" si="17"/>
        <v>136</v>
      </c>
      <c r="Q43" s="323"/>
      <c r="R43" s="155">
        <f t="shared" si="17"/>
        <v>136</v>
      </c>
      <c r="S43" s="155">
        <f t="shared" si="17"/>
        <v>192</v>
      </c>
      <c r="T43" s="155">
        <f t="shared" si="17"/>
        <v>0</v>
      </c>
      <c r="U43" s="155">
        <f t="shared" si="17"/>
        <v>300</v>
      </c>
      <c r="V43" s="155">
        <f t="shared" si="17"/>
        <v>136</v>
      </c>
      <c r="W43" s="155">
        <f t="shared" si="17"/>
        <v>104</v>
      </c>
      <c r="X43" s="155">
        <f t="shared" si="17"/>
        <v>136</v>
      </c>
      <c r="Y43" s="323"/>
      <c r="Z43" s="324"/>
      <c r="AA43" s="160"/>
      <c r="AB43" s="113">
        <f>SUM(B43:AA43)</f>
        <v>3236</v>
      </c>
      <c r="AC43" s="303">
        <f>'Area Festivals'!L111+'Area Festivals'!L112</f>
        <v>2400</v>
      </c>
      <c r="AD43" s="306">
        <f>SUM(AC43-AB43)</f>
        <v>-836</v>
      </c>
      <c r="AE43" s="160"/>
    </row>
    <row r="44" spans="1:31">
      <c r="A44" s="170"/>
      <c r="B44" s="170"/>
      <c r="C44" s="155"/>
      <c r="D44" s="155"/>
      <c r="E44" s="155"/>
      <c r="F44" s="155"/>
      <c r="G44" s="155"/>
      <c r="H44" s="155"/>
      <c r="I44" s="323"/>
      <c r="J44" s="155"/>
      <c r="K44" s="155"/>
      <c r="L44" s="155"/>
      <c r="M44" s="155"/>
      <c r="N44" s="155"/>
      <c r="O44" s="155"/>
      <c r="P44" s="155"/>
      <c r="Q44" s="323"/>
      <c r="R44" s="155"/>
      <c r="S44" s="155"/>
      <c r="T44" s="155"/>
      <c r="U44" s="155"/>
      <c r="V44" s="155"/>
      <c r="W44" s="155"/>
      <c r="X44" s="155"/>
      <c r="Y44" s="323"/>
      <c r="Z44" s="324"/>
      <c r="AA44" s="160"/>
      <c r="AB44" s="113"/>
      <c r="AC44" s="303"/>
      <c r="AD44" s="306"/>
      <c r="AE44" s="160"/>
    </row>
    <row r="45" spans="1:31">
      <c r="A45" s="170" t="s">
        <v>204</v>
      </c>
      <c r="B45" s="170">
        <v>0</v>
      </c>
      <c r="C45" s="155">
        <v>0</v>
      </c>
      <c r="D45" s="155">
        <v>0</v>
      </c>
      <c r="E45" s="155">
        <v>0</v>
      </c>
      <c r="F45" s="155">
        <v>0</v>
      </c>
      <c r="G45" s="155">
        <v>0</v>
      </c>
      <c r="H45" s="155">
        <v>0</v>
      </c>
      <c r="I45" s="323">
        <v>0</v>
      </c>
      <c r="J45" s="155">
        <v>0</v>
      </c>
      <c r="K45" s="155">
        <v>0</v>
      </c>
      <c r="L45" s="155">
        <v>0</v>
      </c>
      <c r="M45" s="155">
        <v>0</v>
      </c>
      <c r="N45" s="155">
        <v>0</v>
      </c>
      <c r="O45" s="155">
        <v>0</v>
      </c>
      <c r="P45" s="155">
        <v>0</v>
      </c>
      <c r="Q45" s="323">
        <v>0</v>
      </c>
      <c r="R45" s="155">
        <v>0</v>
      </c>
      <c r="S45" s="155">
        <v>0</v>
      </c>
      <c r="T45" s="155">
        <v>0</v>
      </c>
      <c r="U45" s="155">
        <v>0</v>
      </c>
      <c r="V45" s="155">
        <v>0</v>
      </c>
      <c r="W45" s="155">
        <v>0</v>
      </c>
      <c r="X45" s="155">
        <v>0</v>
      </c>
      <c r="Y45" s="323">
        <v>0</v>
      </c>
      <c r="Z45" s="324"/>
      <c r="AA45" s="160"/>
      <c r="AB45" s="113">
        <f t="shared" ref="AB45:AB50" si="18">SUM(B45:AA45)</f>
        <v>0</v>
      </c>
      <c r="AC45" s="303">
        <f>'Area Festivals'!L116+'Area Festivals'!L117</f>
        <v>3000</v>
      </c>
      <c r="AD45" s="306">
        <f t="shared" ref="AD45:AD50" si="19">SUM(AC45-AB45)</f>
        <v>3000</v>
      </c>
      <c r="AE45" s="160"/>
    </row>
    <row r="46" spans="1:31">
      <c r="A46" s="170" t="str">
        <f>'Area Festivals'!A118</f>
        <v>Marketing Campaign (per venue)</v>
      </c>
      <c r="B46" s="170">
        <v>0</v>
      </c>
      <c r="C46" s="155">
        <v>0</v>
      </c>
      <c r="D46" s="155">
        <v>0</v>
      </c>
      <c r="E46" s="155">
        <v>0</v>
      </c>
      <c r="F46" s="155">
        <v>0</v>
      </c>
      <c r="G46" s="155">
        <v>0</v>
      </c>
      <c r="H46" s="155">
        <v>0</v>
      </c>
      <c r="I46" s="323">
        <v>1000</v>
      </c>
      <c r="J46" s="155">
        <v>0</v>
      </c>
      <c r="K46" s="155">
        <v>0</v>
      </c>
      <c r="L46" s="155">
        <v>0</v>
      </c>
      <c r="M46" s="155">
        <v>0</v>
      </c>
      <c r="N46" s="155">
        <v>0</v>
      </c>
      <c r="O46" s="155">
        <v>0</v>
      </c>
      <c r="P46" s="155">
        <v>0</v>
      </c>
      <c r="Q46" s="323">
        <v>1500</v>
      </c>
      <c r="R46" s="155">
        <v>0</v>
      </c>
      <c r="S46" s="155">
        <v>0</v>
      </c>
      <c r="T46" s="155">
        <v>0</v>
      </c>
      <c r="U46" s="155">
        <v>0</v>
      </c>
      <c r="V46" s="155">
        <v>0</v>
      </c>
      <c r="W46" s="155">
        <v>0</v>
      </c>
      <c r="X46" s="155">
        <v>0</v>
      </c>
      <c r="Y46" s="323">
        <v>1500</v>
      </c>
      <c r="Z46" s="324"/>
      <c r="AA46" s="160"/>
      <c r="AB46" s="113">
        <f t="shared" si="18"/>
        <v>4000</v>
      </c>
      <c r="AC46" s="303">
        <f>'Area Festivals'!L118</f>
        <v>5000</v>
      </c>
      <c r="AD46" s="306">
        <f t="shared" si="19"/>
        <v>1000</v>
      </c>
      <c r="AE46" s="160"/>
    </row>
    <row r="47" spans="1:31">
      <c r="A47" s="170" t="str">
        <f>'Area Festivals'!A119</f>
        <v>Access Performances</v>
      </c>
      <c r="B47" s="170">
        <v>0</v>
      </c>
      <c r="C47" s="155">
        <v>0</v>
      </c>
      <c r="D47" s="155">
        <v>500</v>
      </c>
      <c r="E47" s="155">
        <v>0</v>
      </c>
      <c r="F47" s="155">
        <v>0</v>
      </c>
      <c r="G47" s="155">
        <v>0</v>
      </c>
      <c r="H47" s="155">
        <v>0</v>
      </c>
      <c r="I47" s="323">
        <v>0</v>
      </c>
      <c r="J47" s="155">
        <v>0</v>
      </c>
      <c r="K47" s="155">
        <v>0</v>
      </c>
      <c r="L47" s="155">
        <v>500</v>
      </c>
      <c r="M47" s="155">
        <v>0</v>
      </c>
      <c r="N47" s="155">
        <v>0</v>
      </c>
      <c r="O47" s="155">
        <v>0</v>
      </c>
      <c r="P47" s="155">
        <v>0</v>
      </c>
      <c r="Q47" s="323">
        <v>0</v>
      </c>
      <c r="R47" s="155">
        <v>0</v>
      </c>
      <c r="S47" s="155">
        <v>0</v>
      </c>
      <c r="T47" s="155">
        <v>0</v>
      </c>
      <c r="U47" s="155">
        <v>0</v>
      </c>
      <c r="V47" s="155">
        <v>0</v>
      </c>
      <c r="W47" s="155">
        <v>0</v>
      </c>
      <c r="X47" s="155">
        <v>500</v>
      </c>
      <c r="Y47" s="323">
        <v>0</v>
      </c>
      <c r="Z47" s="324"/>
      <c r="AA47" s="160"/>
      <c r="AB47" s="113">
        <f t="shared" si="18"/>
        <v>1500</v>
      </c>
      <c r="AC47" s="303">
        <f>'Area Festivals'!L119</f>
        <v>1500</v>
      </c>
      <c r="AD47" s="306">
        <f t="shared" si="19"/>
        <v>0</v>
      </c>
      <c r="AE47" s="160"/>
    </row>
    <row r="48" spans="1:31">
      <c r="A48" s="170" t="str">
        <f>'Area Festivals'!A121</f>
        <v>Photography / Filming / Documenting (per day)</v>
      </c>
      <c r="B48" s="170">
        <v>50</v>
      </c>
      <c r="C48" s="155">
        <v>50</v>
      </c>
      <c r="D48" s="155">
        <v>50</v>
      </c>
      <c r="E48" s="155">
        <v>50</v>
      </c>
      <c r="F48" s="155">
        <v>50</v>
      </c>
      <c r="G48" s="155">
        <v>50</v>
      </c>
      <c r="H48" s="155">
        <v>0</v>
      </c>
      <c r="I48" s="323">
        <v>0</v>
      </c>
      <c r="J48" s="155">
        <v>100</v>
      </c>
      <c r="K48" s="155">
        <v>50</v>
      </c>
      <c r="L48" s="155">
        <v>50</v>
      </c>
      <c r="M48" s="155">
        <v>0</v>
      </c>
      <c r="N48" s="155">
        <v>50</v>
      </c>
      <c r="O48" s="155">
        <v>50</v>
      </c>
      <c r="P48" s="155">
        <v>50</v>
      </c>
      <c r="Q48" s="323">
        <v>0</v>
      </c>
      <c r="R48" s="155">
        <v>50</v>
      </c>
      <c r="S48" s="155">
        <v>50</v>
      </c>
      <c r="T48" s="155">
        <v>0</v>
      </c>
      <c r="U48" s="155">
        <v>50</v>
      </c>
      <c r="V48" s="155">
        <v>50</v>
      </c>
      <c r="W48" s="155">
        <v>50</v>
      </c>
      <c r="X48" s="155">
        <v>50</v>
      </c>
      <c r="Y48" s="323">
        <v>0</v>
      </c>
      <c r="Z48" s="324"/>
      <c r="AA48" s="160"/>
      <c r="AB48" s="113">
        <f t="shared" si="18"/>
        <v>950</v>
      </c>
      <c r="AC48" s="303">
        <f>'Area Festivals'!L121</f>
        <v>1125</v>
      </c>
      <c r="AD48" s="306">
        <f t="shared" si="19"/>
        <v>175</v>
      </c>
      <c r="AE48" s="160"/>
    </row>
    <row r="49" spans="1:32">
      <c r="A49" s="170" t="str">
        <f>'Area Festivals'!A122</f>
        <v>Evaluation (per day)</v>
      </c>
      <c r="B49" s="170">
        <v>0</v>
      </c>
      <c r="C49" s="155">
        <v>0</v>
      </c>
      <c r="D49" s="155">
        <v>0</v>
      </c>
      <c r="E49" s="155">
        <v>0</v>
      </c>
      <c r="F49" s="155">
        <v>0</v>
      </c>
      <c r="G49" s="155">
        <v>0</v>
      </c>
      <c r="H49" s="155">
        <v>0</v>
      </c>
      <c r="I49" s="323">
        <v>200</v>
      </c>
      <c r="J49" s="155">
        <v>0</v>
      </c>
      <c r="K49" s="155">
        <v>0</v>
      </c>
      <c r="L49" s="155">
        <v>0</v>
      </c>
      <c r="M49" s="155">
        <v>0</v>
      </c>
      <c r="N49" s="155">
        <v>0</v>
      </c>
      <c r="O49" s="155">
        <v>0</v>
      </c>
      <c r="P49" s="155">
        <v>0</v>
      </c>
      <c r="Q49" s="323">
        <v>200</v>
      </c>
      <c r="R49" s="155">
        <v>0</v>
      </c>
      <c r="S49" s="155">
        <v>0</v>
      </c>
      <c r="T49" s="155">
        <v>0</v>
      </c>
      <c r="U49" s="155">
        <v>0</v>
      </c>
      <c r="V49" s="155">
        <v>0</v>
      </c>
      <c r="W49" s="155">
        <v>0</v>
      </c>
      <c r="X49" s="155">
        <v>0</v>
      </c>
      <c r="Y49" s="323">
        <v>200</v>
      </c>
      <c r="Z49" s="324"/>
      <c r="AA49" s="160"/>
      <c r="AB49" s="113">
        <f t="shared" si="18"/>
        <v>600</v>
      </c>
      <c r="AC49" s="303">
        <f>'Area Festivals'!L122</f>
        <v>750</v>
      </c>
      <c r="AD49" s="306">
        <f t="shared" si="19"/>
        <v>150</v>
      </c>
      <c r="AE49" s="160"/>
    </row>
    <row r="50" spans="1:32">
      <c r="A50" s="170" t="str">
        <f>'Area Festivals'!A120</f>
        <v>Remote Box Office Set-Up</v>
      </c>
      <c r="B50" s="157">
        <v>0</v>
      </c>
      <c r="C50" s="156">
        <v>0</v>
      </c>
      <c r="D50" s="156">
        <v>0</v>
      </c>
      <c r="E50" s="156">
        <v>0</v>
      </c>
      <c r="F50" s="156">
        <v>0</v>
      </c>
      <c r="G50" s="156">
        <v>0</v>
      </c>
      <c r="H50" s="156">
        <v>0</v>
      </c>
      <c r="I50" s="158">
        <v>300</v>
      </c>
      <c r="J50" s="156">
        <v>0</v>
      </c>
      <c r="K50" s="156">
        <v>0</v>
      </c>
      <c r="L50" s="156">
        <v>0</v>
      </c>
      <c r="M50" s="156">
        <v>0</v>
      </c>
      <c r="N50" s="156">
        <v>0</v>
      </c>
      <c r="O50" s="156">
        <v>0</v>
      </c>
      <c r="P50" s="156">
        <v>0</v>
      </c>
      <c r="Q50" s="158">
        <v>300</v>
      </c>
      <c r="R50" s="156">
        <v>0</v>
      </c>
      <c r="S50" s="156">
        <v>0</v>
      </c>
      <c r="T50" s="156">
        <v>0</v>
      </c>
      <c r="U50" s="156">
        <v>0</v>
      </c>
      <c r="V50" s="156">
        <v>0</v>
      </c>
      <c r="W50" s="156">
        <v>0</v>
      </c>
      <c r="X50" s="156">
        <v>0</v>
      </c>
      <c r="Y50" s="158">
        <v>300</v>
      </c>
      <c r="Z50" s="159"/>
      <c r="AA50" s="160"/>
      <c r="AB50" s="113">
        <f t="shared" si="18"/>
        <v>900</v>
      </c>
      <c r="AC50" s="303">
        <f>'Area Festivals'!L120</f>
        <v>900</v>
      </c>
      <c r="AD50" s="306">
        <f t="shared" si="19"/>
        <v>0</v>
      </c>
      <c r="AE50" s="160"/>
    </row>
    <row r="51" spans="1:32">
      <c r="A51" s="170"/>
      <c r="B51" s="157"/>
      <c r="C51" s="156"/>
      <c r="D51" s="156"/>
      <c r="E51" s="156"/>
      <c r="F51" s="156"/>
      <c r="G51" s="156"/>
      <c r="H51" s="156"/>
      <c r="I51" s="158"/>
      <c r="J51" s="156"/>
      <c r="K51" s="156"/>
      <c r="L51" s="156"/>
      <c r="M51" s="156"/>
      <c r="N51" s="156"/>
      <c r="O51" s="156"/>
      <c r="P51" s="156"/>
      <c r="Q51" s="158"/>
      <c r="R51" s="156"/>
      <c r="S51" s="156"/>
      <c r="T51" s="156"/>
      <c r="U51" s="156"/>
      <c r="V51" s="156"/>
      <c r="W51" s="156"/>
      <c r="X51" s="156"/>
      <c r="Y51" s="158"/>
      <c r="Z51" s="159"/>
      <c r="AA51" s="160"/>
      <c r="AB51" s="113"/>
      <c r="AC51" s="303"/>
      <c r="AD51" s="306"/>
      <c r="AE51" s="160"/>
    </row>
    <row r="52" spans="1:32" s="176" customFormat="1" ht="13.5" thickBot="1">
      <c r="A52" s="312" t="s">
        <v>205</v>
      </c>
      <c r="B52" s="313">
        <f t="shared" ref="B52:AB52" si="20">SUM(B34:B51)</f>
        <v>186</v>
      </c>
      <c r="C52" s="314">
        <f t="shared" si="20"/>
        <v>154</v>
      </c>
      <c r="D52" s="314">
        <f t="shared" si="20"/>
        <v>686</v>
      </c>
      <c r="E52" s="314">
        <f t="shared" si="20"/>
        <v>242</v>
      </c>
      <c r="F52" s="314">
        <f t="shared" si="20"/>
        <v>350</v>
      </c>
      <c r="G52" s="314">
        <f t="shared" si="20"/>
        <v>186</v>
      </c>
      <c r="H52" s="314">
        <f t="shared" si="20"/>
        <v>0</v>
      </c>
      <c r="I52" s="314">
        <f t="shared" si="20"/>
        <v>1500</v>
      </c>
      <c r="J52" s="314">
        <f t="shared" si="20"/>
        <v>484</v>
      </c>
      <c r="K52" s="314">
        <f t="shared" si="20"/>
        <v>186</v>
      </c>
      <c r="L52" s="314">
        <f t="shared" si="20"/>
        <v>686</v>
      </c>
      <c r="M52" s="314">
        <f t="shared" si="20"/>
        <v>0</v>
      </c>
      <c r="N52" s="314">
        <f t="shared" si="20"/>
        <v>186</v>
      </c>
      <c r="O52" s="314">
        <f t="shared" si="20"/>
        <v>350</v>
      </c>
      <c r="P52" s="314">
        <f t="shared" si="20"/>
        <v>186</v>
      </c>
      <c r="Q52" s="315"/>
      <c r="R52" s="314">
        <f t="shared" si="20"/>
        <v>186</v>
      </c>
      <c r="S52" s="314">
        <f t="shared" si="20"/>
        <v>242</v>
      </c>
      <c r="T52" s="314">
        <f t="shared" si="20"/>
        <v>0</v>
      </c>
      <c r="U52" s="314">
        <f t="shared" si="20"/>
        <v>350</v>
      </c>
      <c r="V52" s="314">
        <f t="shared" si="20"/>
        <v>186</v>
      </c>
      <c r="W52" s="314">
        <f t="shared" si="20"/>
        <v>154</v>
      </c>
      <c r="X52" s="314">
        <f t="shared" si="20"/>
        <v>686</v>
      </c>
      <c r="Y52" s="315">
        <f t="shared" si="20"/>
        <v>2000</v>
      </c>
      <c r="Z52" s="315">
        <f t="shared" si="20"/>
        <v>0</v>
      </c>
      <c r="AA52" s="244"/>
      <c r="AB52" s="244">
        <f t="shared" si="20"/>
        <v>11186</v>
      </c>
      <c r="AC52" s="311">
        <f>SUM(AC34:AC50)</f>
        <v>36775</v>
      </c>
      <c r="AD52" s="317">
        <f>SUM(AC52-AB52)</f>
        <v>25589</v>
      </c>
      <c r="AE52" s="339"/>
      <c r="AF52" s="318"/>
    </row>
    <row r="53" spans="1:32">
      <c r="A53" s="157"/>
      <c r="B53" s="157"/>
      <c r="C53" s="156"/>
      <c r="D53" s="156"/>
      <c r="E53" s="156"/>
      <c r="F53" s="156"/>
      <c r="G53" s="156"/>
      <c r="H53" s="156"/>
      <c r="I53" s="158"/>
      <c r="J53" s="156"/>
      <c r="K53" s="156"/>
      <c r="L53" s="156"/>
      <c r="M53" s="156"/>
      <c r="N53" s="156"/>
      <c r="O53" s="156"/>
      <c r="P53" s="156"/>
      <c r="Q53" s="158"/>
      <c r="R53" s="156"/>
      <c r="S53" s="156"/>
      <c r="T53" s="156"/>
      <c r="U53" s="156"/>
      <c r="V53" s="156"/>
      <c r="W53" s="156"/>
      <c r="X53" s="156"/>
      <c r="Y53" s="396"/>
      <c r="Z53" s="397"/>
      <c r="AA53" s="103"/>
      <c r="AB53" s="171"/>
      <c r="AC53" s="304"/>
      <c r="AD53" s="305"/>
      <c r="AE53" s="160"/>
    </row>
    <row r="54" spans="1:32" s="176" customFormat="1" ht="15.75" thickBot="1">
      <c r="A54" s="172" t="s">
        <v>206</v>
      </c>
      <c r="B54" s="173">
        <f t="shared" ref="B54:Z54" si="21">B29-B52</f>
        <v>-186</v>
      </c>
      <c r="C54" s="174">
        <f t="shared" si="21"/>
        <v>-154</v>
      </c>
      <c r="D54" s="174">
        <f t="shared" si="21"/>
        <v>-686</v>
      </c>
      <c r="E54" s="174">
        <f t="shared" si="21"/>
        <v>-242</v>
      </c>
      <c r="F54" s="174">
        <f t="shared" si="21"/>
        <v>-350</v>
      </c>
      <c r="G54" s="174">
        <f t="shared" si="21"/>
        <v>-186</v>
      </c>
      <c r="H54" s="174">
        <f t="shared" si="21"/>
        <v>0</v>
      </c>
      <c r="I54" s="174">
        <f t="shared" si="21"/>
        <v>-1500</v>
      </c>
      <c r="J54" s="174">
        <f t="shared" si="21"/>
        <v>-484</v>
      </c>
      <c r="K54" s="174">
        <f t="shared" si="21"/>
        <v>-186</v>
      </c>
      <c r="L54" s="174">
        <f t="shared" si="21"/>
        <v>-686</v>
      </c>
      <c r="M54" s="174">
        <f t="shared" si="21"/>
        <v>0</v>
      </c>
      <c r="N54" s="174">
        <f t="shared" si="21"/>
        <v>-186</v>
      </c>
      <c r="O54" s="174">
        <f t="shared" si="21"/>
        <v>-350</v>
      </c>
      <c r="P54" s="174">
        <f t="shared" si="21"/>
        <v>-186</v>
      </c>
      <c r="Q54" s="175"/>
      <c r="R54" s="174">
        <f t="shared" si="21"/>
        <v>-186</v>
      </c>
      <c r="S54" s="174">
        <f t="shared" si="21"/>
        <v>-242</v>
      </c>
      <c r="T54" s="174">
        <f t="shared" si="21"/>
        <v>0</v>
      </c>
      <c r="U54" s="174">
        <f t="shared" si="21"/>
        <v>-350</v>
      </c>
      <c r="V54" s="174">
        <f t="shared" si="21"/>
        <v>-186</v>
      </c>
      <c r="W54" s="174">
        <f t="shared" si="21"/>
        <v>-154</v>
      </c>
      <c r="X54" s="174">
        <f t="shared" si="21"/>
        <v>-686</v>
      </c>
      <c r="Y54" s="174">
        <f t="shared" si="21"/>
        <v>-2000</v>
      </c>
      <c r="Z54" s="174">
        <f t="shared" si="21"/>
        <v>0</v>
      </c>
      <c r="AA54" s="511" t="s">
        <v>207</v>
      </c>
      <c r="AB54" s="512"/>
      <c r="AC54" s="513"/>
      <c r="AD54" s="337">
        <f>AD29+AD31+AD52</f>
        <v>53039</v>
      </c>
      <c r="AE54" s="340"/>
    </row>
    <row r="55" spans="1:32" s="176" customFormat="1">
      <c r="A55" s="177"/>
      <c r="B55" s="178"/>
      <c r="C55" s="179"/>
      <c r="D55" s="179"/>
      <c r="E55" s="179"/>
      <c r="F55" s="179"/>
      <c r="G55" s="179"/>
      <c r="H55" s="179"/>
      <c r="I55" s="180"/>
      <c r="J55" s="179"/>
      <c r="K55" s="179"/>
      <c r="L55" s="179"/>
      <c r="M55" s="179"/>
      <c r="N55" s="179"/>
      <c r="O55" s="179"/>
      <c r="P55" s="179"/>
      <c r="Q55" s="180"/>
      <c r="R55" s="179"/>
      <c r="S55" s="179"/>
      <c r="T55" s="179"/>
      <c r="U55" s="179"/>
      <c r="V55" s="179"/>
      <c r="W55" s="179"/>
      <c r="X55" s="179"/>
      <c r="Y55" s="393"/>
      <c r="Z55" s="179"/>
      <c r="AA55" s="179"/>
      <c r="AB55" s="179"/>
      <c r="AC55" s="181"/>
      <c r="AE55" s="181"/>
    </row>
    <row r="56" spans="1:32">
      <c r="A56" s="182" t="s">
        <v>208</v>
      </c>
      <c r="B56" s="183"/>
      <c r="C56" s="184"/>
      <c r="D56" s="184"/>
      <c r="E56" s="184"/>
      <c r="F56" s="184"/>
      <c r="G56" s="184"/>
      <c r="H56" s="184"/>
      <c r="I56" s="185"/>
      <c r="J56" s="184"/>
      <c r="K56" s="184"/>
      <c r="L56" s="184"/>
      <c r="M56" s="184"/>
      <c r="N56" s="184"/>
      <c r="O56" s="184"/>
      <c r="P56" s="184"/>
      <c r="Q56" s="185"/>
      <c r="R56" s="184"/>
      <c r="S56" s="184"/>
      <c r="T56" s="184"/>
      <c r="U56" s="184"/>
      <c r="V56" s="184"/>
      <c r="W56" s="184"/>
      <c r="X56" s="184"/>
      <c r="Y56" s="185"/>
      <c r="Z56" s="184"/>
      <c r="AA56" s="186"/>
      <c r="AB56" s="156"/>
      <c r="AC56" s="246"/>
      <c r="AE56" s="246"/>
    </row>
    <row r="57" spans="1:32">
      <c r="A57" s="187" t="s">
        <v>209</v>
      </c>
      <c r="B57" s="188"/>
      <c r="C57" s="189"/>
      <c r="D57" s="189"/>
      <c r="E57" s="189"/>
      <c r="F57" s="189"/>
      <c r="G57" s="189"/>
      <c r="H57" s="189"/>
      <c r="I57" s="190"/>
      <c r="J57" s="189"/>
      <c r="K57" s="189"/>
      <c r="L57" s="189"/>
      <c r="M57" s="189"/>
      <c r="N57" s="189"/>
      <c r="O57" s="189"/>
      <c r="P57" s="189"/>
      <c r="Q57" s="190"/>
      <c r="R57" s="189"/>
      <c r="S57" s="189"/>
      <c r="T57" s="189"/>
      <c r="U57" s="189"/>
      <c r="V57" s="189"/>
      <c r="W57" s="189"/>
      <c r="X57" s="189"/>
      <c r="Y57" s="190"/>
      <c r="Z57" s="189"/>
      <c r="AA57" s="186"/>
      <c r="AB57" s="156"/>
      <c r="AC57" s="186"/>
      <c r="AE57" s="186"/>
    </row>
    <row r="58" spans="1:32">
      <c r="A58" s="168"/>
      <c r="B58" s="157"/>
      <c r="C58" s="156"/>
      <c r="D58" s="156"/>
      <c r="E58" s="156"/>
      <c r="F58" s="156"/>
      <c r="G58" s="156"/>
      <c r="H58" s="156"/>
      <c r="I58" s="158"/>
      <c r="J58" s="156"/>
      <c r="K58" s="156"/>
      <c r="L58" s="156"/>
      <c r="M58" s="156"/>
      <c r="N58" s="156"/>
      <c r="O58" s="156"/>
      <c r="P58" s="156"/>
      <c r="Q58" s="158"/>
      <c r="R58" s="156"/>
      <c r="S58" s="156"/>
      <c r="T58" s="156"/>
      <c r="U58" s="156"/>
      <c r="V58" s="156"/>
      <c r="W58" s="156"/>
      <c r="X58" s="156"/>
      <c r="Y58" s="158"/>
      <c r="Z58" s="156"/>
      <c r="AA58" s="155"/>
      <c r="AB58" s="156"/>
      <c r="AC58" s="155"/>
      <c r="AE58" s="155"/>
    </row>
    <row r="59" spans="1:32">
      <c r="A59" s="191"/>
      <c r="B59" s="191"/>
      <c r="C59" s="192"/>
      <c r="D59" s="192"/>
      <c r="E59" s="192"/>
      <c r="F59" s="192"/>
      <c r="G59" s="192"/>
      <c r="H59" s="192"/>
      <c r="I59" s="193"/>
      <c r="J59" s="192"/>
      <c r="K59" s="192"/>
      <c r="L59" s="192"/>
      <c r="M59" s="192"/>
      <c r="N59" s="192"/>
      <c r="O59" s="192"/>
      <c r="P59" s="192"/>
      <c r="Q59" s="193"/>
      <c r="R59" s="192"/>
      <c r="S59" s="192"/>
      <c r="T59" s="192"/>
      <c r="U59" s="192"/>
      <c r="V59" s="192"/>
      <c r="W59" s="192"/>
      <c r="X59" s="192"/>
      <c r="Y59" s="193"/>
      <c r="Z59" s="192"/>
      <c r="AA59" s="155"/>
      <c r="AB59" s="156"/>
      <c r="AC59" s="155"/>
      <c r="AE59" s="155"/>
    </row>
    <row r="60" spans="1:32">
      <c r="A60" s="168" t="s">
        <v>210</v>
      </c>
      <c r="B60" s="157"/>
      <c r="C60" s="156"/>
      <c r="D60" s="156"/>
      <c r="E60" s="156"/>
      <c r="F60" s="156"/>
      <c r="G60" s="156"/>
      <c r="H60" s="156"/>
      <c r="I60" s="158"/>
      <c r="J60" s="156"/>
      <c r="K60" s="156"/>
      <c r="L60" s="156"/>
      <c r="M60" s="156"/>
      <c r="N60" s="156"/>
      <c r="O60" s="156"/>
      <c r="P60" s="156"/>
      <c r="Q60" s="158"/>
      <c r="R60" s="156"/>
      <c r="S60" s="156"/>
      <c r="T60" s="156"/>
      <c r="U60" s="156"/>
      <c r="V60" s="156"/>
      <c r="W60" s="156"/>
      <c r="X60" s="156"/>
      <c r="Y60" s="158"/>
      <c r="Z60" s="156"/>
      <c r="AA60" s="155"/>
      <c r="AB60" s="156"/>
      <c r="AC60" s="155"/>
      <c r="AE60" s="155"/>
    </row>
    <row r="61" spans="1:32">
      <c r="A61" s="150" t="s">
        <v>211</v>
      </c>
      <c r="B61" s="194">
        <v>0</v>
      </c>
      <c r="C61" s="195">
        <v>0</v>
      </c>
      <c r="D61" s="195">
        <v>0</v>
      </c>
      <c r="E61" s="195">
        <v>0</v>
      </c>
      <c r="F61" s="195">
        <v>0</v>
      </c>
      <c r="G61" s="195">
        <v>0</v>
      </c>
      <c r="H61" s="195">
        <v>0</v>
      </c>
      <c r="I61" s="196"/>
      <c r="J61" s="195">
        <v>0</v>
      </c>
      <c r="K61" s="195">
        <v>0</v>
      </c>
      <c r="L61" s="195">
        <v>0</v>
      </c>
      <c r="M61" s="195">
        <v>0</v>
      </c>
      <c r="N61" s="195">
        <v>0</v>
      </c>
      <c r="O61" s="195">
        <v>0</v>
      </c>
      <c r="P61" s="195">
        <v>0</v>
      </c>
      <c r="Q61" s="196"/>
      <c r="R61" s="195">
        <v>0</v>
      </c>
      <c r="S61" s="195">
        <v>0</v>
      </c>
      <c r="T61" s="195">
        <v>0</v>
      </c>
      <c r="U61" s="195">
        <v>0</v>
      </c>
      <c r="V61" s="195">
        <v>0</v>
      </c>
      <c r="W61" s="195">
        <v>0</v>
      </c>
      <c r="X61" s="195">
        <v>0</v>
      </c>
      <c r="Y61" s="196"/>
      <c r="Z61" s="195"/>
      <c r="AA61" s="197"/>
      <c r="AB61" s="156"/>
      <c r="AC61" s="197"/>
      <c r="AE61" s="197"/>
    </row>
    <row r="62" spans="1:32">
      <c r="A62" s="157"/>
      <c r="B62" s="157"/>
      <c r="C62" s="156"/>
      <c r="D62" s="156"/>
      <c r="E62" s="156"/>
      <c r="F62" s="156"/>
      <c r="G62" s="156"/>
      <c r="H62" s="156"/>
      <c r="I62" s="158"/>
      <c r="J62" s="156"/>
      <c r="K62" s="156"/>
      <c r="L62" s="156"/>
      <c r="M62" s="156"/>
      <c r="N62" s="156"/>
      <c r="O62" s="156"/>
      <c r="P62" s="156"/>
      <c r="Q62" s="158"/>
      <c r="R62" s="156"/>
      <c r="S62" s="156"/>
      <c r="T62" s="156"/>
      <c r="U62" s="156"/>
      <c r="V62" s="156"/>
      <c r="W62" s="156"/>
      <c r="X62" s="156"/>
      <c r="Y62" s="158"/>
      <c r="Z62" s="156"/>
      <c r="AA62" s="155"/>
      <c r="AB62" s="156"/>
      <c r="AC62" s="155"/>
      <c r="AE62" s="155"/>
    </row>
    <row r="63" spans="1:32">
      <c r="A63" s="198" t="s">
        <v>212</v>
      </c>
      <c r="B63" s="157"/>
      <c r="C63" s="156"/>
      <c r="D63" s="156"/>
      <c r="E63" s="156"/>
      <c r="F63" s="156"/>
      <c r="G63" s="156"/>
      <c r="H63" s="156"/>
      <c r="I63" s="158"/>
      <c r="J63" s="156"/>
      <c r="K63" s="156"/>
      <c r="L63" s="156"/>
      <c r="M63" s="156"/>
      <c r="N63" s="156"/>
      <c r="O63" s="156"/>
      <c r="P63" s="156"/>
      <c r="Q63" s="158"/>
      <c r="R63" s="156"/>
      <c r="S63" s="156"/>
      <c r="T63" s="156"/>
      <c r="U63" s="156"/>
      <c r="V63" s="156"/>
      <c r="W63" s="156"/>
      <c r="X63" s="156"/>
      <c r="Y63" s="158"/>
      <c r="Z63" s="156"/>
      <c r="AA63" s="155"/>
      <c r="AB63" s="156"/>
      <c r="AC63" s="155"/>
      <c r="AE63" s="155"/>
    </row>
    <row r="64" spans="1:32">
      <c r="A64" s="168" t="s">
        <v>213</v>
      </c>
      <c r="B64" s="157"/>
      <c r="C64" s="156"/>
      <c r="D64" s="156"/>
      <c r="E64" s="156"/>
      <c r="F64" s="156"/>
      <c r="G64" s="156"/>
      <c r="H64" s="156"/>
      <c r="I64" s="158"/>
      <c r="J64" s="156"/>
      <c r="K64" s="156"/>
      <c r="L64" s="156"/>
      <c r="M64" s="156"/>
      <c r="N64" s="156"/>
      <c r="O64" s="156"/>
      <c r="P64" s="156"/>
      <c r="Q64" s="158"/>
      <c r="R64" s="156"/>
      <c r="S64" s="156"/>
      <c r="T64" s="156"/>
      <c r="U64" s="156"/>
      <c r="V64" s="156"/>
      <c r="W64" s="156"/>
      <c r="X64" s="156"/>
      <c r="Y64" s="158"/>
      <c r="Z64" s="156"/>
      <c r="AA64" s="155"/>
      <c r="AB64" s="156"/>
      <c r="AC64" s="155"/>
      <c r="AE64" s="155"/>
    </row>
    <row r="65" spans="1:31">
      <c r="A65" s="157" t="s">
        <v>214</v>
      </c>
      <c r="B65" s="157">
        <f t="shared" ref="B65:X65" si="22">B26</f>
        <v>0</v>
      </c>
      <c r="C65" s="156">
        <f t="shared" si="22"/>
        <v>0</v>
      </c>
      <c r="D65" s="156">
        <f t="shared" si="22"/>
        <v>0</v>
      </c>
      <c r="E65" s="156">
        <f t="shared" si="22"/>
        <v>0</v>
      </c>
      <c r="F65" s="156">
        <f t="shared" si="22"/>
        <v>0</v>
      </c>
      <c r="G65" s="156">
        <f t="shared" si="22"/>
        <v>0</v>
      </c>
      <c r="H65" s="156">
        <f t="shared" si="22"/>
        <v>0</v>
      </c>
      <c r="I65" s="158"/>
      <c r="J65" s="156">
        <f t="shared" si="22"/>
        <v>0</v>
      </c>
      <c r="K65" s="156">
        <f t="shared" si="22"/>
        <v>0</v>
      </c>
      <c r="L65" s="156">
        <f t="shared" si="22"/>
        <v>0</v>
      </c>
      <c r="M65" s="156">
        <f t="shared" si="22"/>
        <v>0</v>
      </c>
      <c r="N65" s="156">
        <f t="shared" si="22"/>
        <v>0</v>
      </c>
      <c r="O65" s="156">
        <f t="shared" si="22"/>
        <v>0</v>
      </c>
      <c r="P65" s="156">
        <f t="shared" si="22"/>
        <v>0</v>
      </c>
      <c r="Q65" s="158"/>
      <c r="R65" s="156">
        <f t="shared" si="22"/>
        <v>0</v>
      </c>
      <c r="S65" s="156">
        <f t="shared" si="22"/>
        <v>0</v>
      </c>
      <c r="T65" s="156">
        <f t="shared" si="22"/>
        <v>0</v>
      </c>
      <c r="U65" s="156">
        <f t="shared" si="22"/>
        <v>0</v>
      </c>
      <c r="V65" s="156">
        <f t="shared" si="22"/>
        <v>0</v>
      </c>
      <c r="W65" s="156">
        <f t="shared" si="22"/>
        <v>0</v>
      </c>
      <c r="X65" s="156">
        <f t="shared" si="22"/>
        <v>0</v>
      </c>
      <c r="Y65" s="158"/>
      <c r="Z65" s="156"/>
      <c r="AA65" s="155"/>
      <c r="AB65" s="155"/>
      <c r="AC65" s="155"/>
      <c r="AE65" s="155"/>
    </row>
    <row r="66" spans="1:31">
      <c r="A66" s="157" t="s">
        <v>215</v>
      </c>
      <c r="B66" s="157">
        <f t="shared" ref="B66:X66" si="23">-B65*0.013</f>
        <v>0</v>
      </c>
      <c r="C66" s="156">
        <f t="shared" si="23"/>
        <v>0</v>
      </c>
      <c r="D66" s="156">
        <f t="shared" si="23"/>
        <v>0</v>
      </c>
      <c r="E66" s="156">
        <f t="shared" si="23"/>
        <v>0</v>
      </c>
      <c r="F66" s="156">
        <f t="shared" si="23"/>
        <v>0</v>
      </c>
      <c r="G66" s="156">
        <f t="shared" si="23"/>
        <v>0</v>
      </c>
      <c r="H66" s="156">
        <f t="shared" si="23"/>
        <v>0</v>
      </c>
      <c r="I66" s="158"/>
      <c r="J66" s="156">
        <f t="shared" si="23"/>
        <v>0</v>
      </c>
      <c r="K66" s="156">
        <f t="shared" si="23"/>
        <v>0</v>
      </c>
      <c r="L66" s="156">
        <f t="shared" si="23"/>
        <v>0</v>
      </c>
      <c r="M66" s="156">
        <f t="shared" si="23"/>
        <v>0</v>
      </c>
      <c r="N66" s="156">
        <f t="shared" si="23"/>
        <v>0</v>
      </c>
      <c r="O66" s="156">
        <f t="shared" si="23"/>
        <v>0</v>
      </c>
      <c r="P66" s="156">
        <f t="shared" si="23"/>
        <v>0</v>
      </c>
      <c r="Q66" s="158"/>
      <c r="R66" s="156">
        <f t="shared" si="23"/>
        <v>0</v>
      </c>
      <c r="S66" s="156">
        <f t="shared" si="23"/>
        <v>0</v>
      </c>
      <c r="T66" s="156">
        <f t="shared" si="23"/>
        <v>0</v>
      </c>
      <c r="U66" s="156">
        <f t="shared" si="23"/>
        <v>0</v>
      </c>
      <c r="V66" s="156">
        <f t="shared" si="23"/>
        <v>0</v>
      </c>
      <c r="W66" s="156">
        <f t="shared" si="23"/>
        <v>0</v>
      </c>
      <c r="X66" s="156">
        <f t="shared" si="23"/>
        <v>0</v>
      </c>
      <c r="Y66" s="158"/>
      <c r="Z66" s="156"/>
      <c r="AA66" s="155"/>
      <c r="AB66" s="181"/>
      <c r="AC66" s="155"/>
      <c r="AE66" s="155"/>
    </row>
    <row r="67" spans="1:31">
      <c r="A67" s="157" t="s">
        <v>216</v>
      </c>
      <c r="B67" s="157">
        <f t="shared" ref="B67:X67" si="24">-B65*0.019</f>
        <v>0</v>
      </c>
      <c r="C67" s="156">
        <f t="shared" si="24"/>
        <v>0</v>
      </c>
      <c r="D67" s="156">
        <f t="shared" si="24"/>
        <v>0</v>
      </c>
      <c r="E67" s="156">
        <f t="shared" si="24"/>
        <v>0</v>
      </c>
      <c r="F67" s="156">
        <f t="shared" si="24"/>
        <v>0</v>
      </c>
      <c r="G67" s="156">
        <f t="shared" si="24"/>
        <v>0</v>
      </c>
      <c r="H67" s="156">
        <f t="shared" si="24"/>
        <v>0</v>
      </c>
      <c r="I67" s="158"/>
      <c r="J67" s="156">
        <f t="shared" si="24"/>
        <v>0</v>
      </c>
      <c r="K67" s="156">
        <f t="shared" si="24"/>
        <v>0</v>
      </c>
      <c r="L67" s="156">
        <f t="shared" si="24"/>
        <v>0</v>
      </c>
      <c r="M67" s="156">
        <f t="shared" si="24"/>
        <v>0</v>
      </c>
      <c r="N67" s="156">
        <f t="shared" si="24"/>
        <v>0</v>
      </c>
      <c r="O67" s="156">
        <f t="shared" si="24"/>
        <v>0</v>
      </c>
      <c r="P67" s="156">
        <f t="shared" si="24"/>
        <v>0</v>
      </c>
      <c r="Q67" s="158"/>
      <c r="R67" s="156">
        <f t="shared" si="24"/>
        <v>0</v>
      </c>
      <c r="S67" s="156">
        <f t="shared" si="24"/>
        <v>0</v>
      </c>
      <c r="T67" s="156">
        <f t="shared" si="24"/>
        <v>0</v>
      </c>
      <c r="U67" s="156">
        <f t="shared" si="24"/>
        <v>0</v>
      </c>
      <c r="V67" s="156">
        <f t="shared" si="24"/>
        <v>0</v>
      </c>
      <c r="W67" s="156">
        <f t="shared" si="24"/>
        <v>0</v>
      </c>
      <c r="X67" s="156">
        <f t="shared" si="24"/>
        <v>0</v>
      </c>
      <c r="Y67" s="158"/>
      <c r="Z67" s="156"/>
      <c r="AA67" s="155"/>
      <c r="AB67" s="181"/>
      <c r="AC67" s="155"/>
      <c r="AE67" s="155"/>
    </row>
    <row r="68" spans="1:31">
      <c r="A68" s="157" t="s">
        <v>217</v>
      </c>
      <c r="B68" s="157">
        <f t="shared" ref="B68:X68" si="25">+B65+B66+B67+B28</f>
        <v>0</v>
      </c>
      <c r="C68" s="156">
        <f t="shared" si="25"/>
        <v>0</v>
      </c>
      <c r="D68" s="156">
        <f t="shared" si="25"/>
        <v>0</v>
      </c>
      <c r="E68" s="156">
        <f t="shared" si="25"/>
        <v>0</v>
      </c>
      <c r="F68" s="156">
        <f t="shared" si="25"/>
        <v>0</v>
      </c>
      <c r="G68" s="156">
        <f t="shared" si="25"/>
        <v>0</v>
      </c>
      <c r="H68" s="156">
        <f t="shared" si="25"/>
        <v>0</v>
      </c>
      <c r="I68" s="158"/>
      <c r="J68" s="156">
        <f t="shared" si="25"/>
        <v>0</v>
      </c>
      <c r="K68" s="156">
        <f t="shared" si="25"/>
        <v>0</v>
      </c>
      <c r="L68" s="156">
        <f t="shared" si="25"/>
        <v>0</v>
      </c>
      <c r="M68" s="156">
        <f t="shared" si="25"/>
        <v>0</v>
      </c>
      <c r="N68" s="156">
        <f t="shared" si="25"/>
        <v>0</v>
      </c>
      <c r="O68" s="156">
        <f t="shared" si="25"/>
        <v>0</v>
      </c>
      <c r="P68" s="156">
        <f t="shared" si="25"/>
        <v>0</v>
      </c>
      <c r="Q68" s="158"/>
      <c r="R68" s="156">
        <f t="shared" si="25"/>
        <v>0</v>
      </c>
      <c r="S68" s="156">
        <f t="shared" si="25"/>
        <v>0</v>
      </c>
      <c r="T68" s="156">
        <f t="shared" si="25"/>
        <v>0</v>
      </c>
      <c r="U68" s="156">
        <f t="shared" si="25"/>
        <v>0</v>
      </c>
      <c r="V68" s="156">
        <f t="shared" si="25"/>
        <v>0</v>
      </c>
      <c r="W68" s="156">
        <f t="shared" si="25"/>
        <v>0</v>
      </c>
      <c r="X68" s="156">
        <f t="shared" si="25"/>
        <v>0</v>
      </c>
      <c r="Y68" s="158"/>
      <c r="Z68" s="156"/>
      <c r="AA68" s="155"/>
      <c r="AB68" s="155"/>
      <c r="AC68" s="155"/>
      <c r="AE68" s="155"/>
    </row>
    <row r="69" spans="1:31">
      <c r="A69" s="157" t="s">
        <v>218</v>
      </c>
      <c r="B69" s="157">
        <f t="shared" ref="B69:X69" si="26">-B68*B61</f>
        <v>0</v>
      </c>
      <c r="C69" s="156">
        <f t="shared" si="26"/>
        <v>0</v>
      </c>
      <c r="D69" s="156">
        <f t="shared" si="26"/>
        <v>0</v>
      </c>
      <c r="E69" s="156">
        <f t="shared" si="26"/>
        <v>0</v>
      </c>
      <c r="F69" s="156">
        <f t="shared" si="26"/>
        <v>0</v>
      </c>
      <c r="G69" s="156">
        <f t="shared" si="26"/>
        <v>0</v>
      </c>
      <c r="H69" s="156">
        <f t="shared" si="26"/>
        <v>0</v>
      </c>
      <c r="I69" s="158"/>
      <c r="J69" s="156">
        <f t="shared" si="26"/>
        <v>0</v>
      </c>
      <c r="K69" s="156">
        <f t="shared" si="26"/>
        <v>0</v>
      </c>
      <c r="L69" s="156">
        <f t="shared" si="26"/>
        <v>0</v>
      </c>
      <c r="M69" s="156">
        <f t="shared" si="26"/>
        <v>0</v>
      </c>
      <c r="N69" s="156">
        <f t="shared" si="26"/>
        <v>0</v>
      </c>
      <c r="O69" s="156">
        <f t="shared" si="26"/>
        <v>0</v>
      </c>
      <c r="P69" s="156">
        <f t="shared" si="26"/>
        <v>0</v>
      </c>
      <c r="Q69" s="158"/>
      <c r="R69" s="156">
        <f t="shared" si="26"/>
        <v>0</v>
      </c>
      <c r="S69" s="156">
        <f t="shared" si="26"/>
        <v>0</v>
      </c>
      <c r="T69" s="156">
        <f t="shared" si="26"/>
        <v>0</v>
      </c>
      <c r="U69" s="156">
        <f t="shared" si="26"/>
        <v>0</v>
      </c>
      <c r="V69" s="156">
        <f t="shared" si="26"/>
        <v>0</v>
      </c>
      <c r="W69" s="156">
        <f t="shared" si="26"/>
        <v>0</v>
      </c>
      <c r="X69" s="156">
        <f t="shared" si="26"/>
        <v>0</v>
      </c>
      <c r="Y69" s="158"/>
      <c r="Z69" s="156"/>
      <c r="AA69" s="155"/>
      <c r="AB69" s="156"/>
      <c r="AC69" s="155"/>
      <c r="AE69" s="155"/>
    </row>
    <row r="70" spans="1:31">
      <c r="A70" s="157"/>
      <c r="B70" s="157"/>
      <c r="C70" s="156"/>
      <c r="D70" s="156"/>
      <c r="E70" s="156"/>
      <c r="F70" s="156"/>
      <c r="G70" s="156"/>
      <c r="H70" s="156"/>
      <c r="I70" s="158"/>
      <c r="J70" s="156"/>
      <c r="K70" s="156"/>
      <c r="L70" s="156"/>
      <c r="M70" s="156"/>
      <c r="N70" s="156"/>
      <c r="O70" s="156"/>
      <c r="P70" s="156"/>
      <c r="Q70" s="158"/>
      <c r="R70" s="156"/>
      <c r="S70" s="156"/>
      <c r="T70" s="156"/>
      <c r="U70" s="156"/>
      <c r="V70" s="156"/>
      <c r="W70" s="156"/>
      <c r="X70" s="156"/>
      <c r="Y70" s="158"/>
      <c r="Z70" s="156"/>
      <c r="AA70" s="155"/>
      <c r="AB70" s="156"/>
      <c r="AC70" s="155"/>
      <c r="AE70" s="155"/>
    </row>
    <row r="71" spans="1:31">
      <c r="A71" s="199" t="s">
        <v>219</v>
      </c>
      <c r="B71" s="200"/>
      <c r="C71" s="201"/>
      <c r="D71" s="201"/>
      <c r="E71" s="201"/>
      <c r="F71" s="201"/>
      <c r="G71" s="201"/>
      <c r="H71" s="201"/>
      <c r="I71" s="202"/>
      <c r="J71" s="201"/>
      <c r="K71" s="201"/>
      <c r="L71" s="201"/>
      <c r="M71" s="201"/>
      <c r="N71" s="201"/>
      <c r="O71" s="201"/>
      <c r="P71" s="201"/>
      <c r="Q71" s="202"/>
      <c r="R71" s="201"/>
      <c r="S71" s="201"/>
      <c r="T71" s="201"/>
      <c r="U71" s="201"/>
      <c r="V71" s="201"/>
      <c r="W71" s="201"/>
      <c r="X71" s="201"/>
      <c r="Y71" s="202"/>
      <c r="Z71" s="201"/>
      <c r="AA71" s="203"/>
      <c r="AB71" s="156"/>
      <c r="AC71" s="203"/>
      <c r="AE71" s="203"/>
    </row>
    <row r="72" spans="1:31" s="208" customFormat="1">
      <c r="A72" s="204" t="s">
        <v>220</v>
      </c>
      <c r="B72" s="205">
        <v>8</v>
      </c>
      <c r="C72" s="206">
        <v>8</v>
      </c>
      <c r="D72" s="206">
        <v>8</v>
      </c>
      <c r="E72" s="206">
        <v>8</v>
      </c>
      <c r="F72" s="206">
        <v>8</v>
      </c>
      <c r="G72" s="206">
        <v>8</v>
      </c>
      <c r="H72" s="206">
        <v>8</v>
      </c>
      <c r="I72" s="207"/>
      <c r="J72" s="206">
        <v>8</v>
      </c>
      <c r="K72" s="206">
        <v>8</v>
      </c>
      <c r="L72" s="206">
        <v>8</v>
      </c>
      <c r="M72" s="206">
        <v>0</v>
      </c>
      <c r="N72" s="206">
        <v>8</v>
      </c>
      <c r="O72" s="206">
        <v>8</v>
      </c>
      <c r="P72" s="206">
        <v>8</v>
      </c>
      <c r="Q72" s="207"/>
      <c r="R72" s="206">
        <v>8</v>
      </c>
      <c r="S72" s="206">
        <v>8</v>
      </c>
      <c r="T72" s="206">
        <v>8</v>
      </c>
      <c r="U72" s="206">
        <v>8</v>
      </c>
      <c r="V72" s="206">
        <v>8</v>
      </c>
      <c r="W72" s="206">
        <v>8</v>
      </c>
      <c r="X72" s="206">
        <v>8</v>
      </c>
      <c r="Y72" s="207"/>
      <c r="Z72" s="206"/>
      <c r="AA72" s="203"/>
      <c r="AB72" s="156"/>
      <c r="AC72" s="203"/>
      <c r="AE72" s="203"/>
    </row>
    <row r="73" spans="1:31" s="208" customFormat="1">
      <c r="A73" s="204" t="s">
        <v>221</v>
      </c>
      <c r="B73" s="209">
        <v>4</v>
      </c>
      <c r="C73" s="210">
        <v>4</v>
      </c>
      <c r="D73" s="210">
        <v>4</v>
      </c>
      <c r="E73" s="210">
        <v>6</v>
      </c>
      <c r="F73" s="210">
        <v>9</v>
      </c>
      <c r="G73" s="210">
        <v>4</v>
      </c>
      <c r="H73" s="210">
        <v>0</v>
      </c>
      <c r="I73" s="211"/>
      <c r="J73" s="210">
        <v>12</v>
      </c>
      <c r="K73" s="210">
        <v>4</v>
      </c>
      <c r="L73" s="210">
        <v>4</v>
      </c>
      <c r="M73" s="210">
        <v>0</v>
      </c>
      <c r="N73" s="210">
        <v>4</v>
      </c>
      <c r="O73" s="210">
        <v>9</v>
      </c>
      <c r="P73" s="210">
        <v>4</v>
      </c>
      <c r="Q73" s="211"/>
      <c r="R73" s="210">
        <v>4</v>
      </c>
      <c r="S73" s="210">
        <v>6</v>
      </c>
      <c r="T73" s="210">
        <v>0</v>
      </c>
      <c r="U73" s="210">
        <v>9</v>
      </c>
      <c r="V73" s="210">
        <v>4</v>
      </c>
      <c r="W73" s="210">
        <v>4</v>
      </c>
      <c r="X73" s="210">
        <v>4</v>
      </c>
      <c r="Y73" s="211"/>
      <c r="Z73" s="210"/>
      <c r="AA73" s="203"/>
      <c r="AB73" s="156"/>
      <c r="AC73" s="203"/>
      <c r="AE73" s="203"/>
    </row>
    <row r="74" spans="1:31" s="208" customFormat="1">
      <c r="A74" s="183" t="s">
        <v>222</v>
      </c>
      <c r="B74" s="183">
        <v>2</v>
      </c>
      <c r="C74" s="184">
        <v>1</v>
      </c>
      <c r="D74" s="184">
        <v>2</v>
      </c>
      <c r="E74" s="184">
        <v>2</v>
      </c>
      <c r="F74" s="184">
        <v>2.5</v>
      </c>
      <c r="G74" s="184">
        <v>2</v>
      </c>
      <c r="H74" s="184">
        <v>2</v>
      </c>
      <c r="I74" s="185"/>
      <c r="J74" s="184">
        <v>2</v>
      </c>
      <c r="K74" s="184">
        <v>2</v>
      </c>
      <c r="L74" s="184">
        <v>2</v>
      </c>
      <c r="M74" s="184">
        <v>0</v>
      </c>
      <c r="N74" s="184">
        <v>2</v>
      </c>
      <c r="O74" s="184">
        <v>2.5</v>
      </c>
      <c r="P74" s="184">
        <v>2</v>
      </c>
      <c r="Q74" s="185"/>
      <c r="R74" s="184">
        <v>2</v>
      </c>
      <c r="S74" s="184">
        <v>2</v>
      </c>
      <c r="T74" s="184">
        <v>2</v>
      </c>
      <c r="U74" s="184">
        <v>2.5</v>
      </c>
      <c r="V74" s="184">
        <v>2</v>
      </c>
      <c r="W74" s="184">
        <v>1</v>
      </c>
      <c r="X74" s="184">
        <v>2</v>
      </c>
      <c r="Y74" s="185"/>
      <c r="Z74" s="184"/>
      <c r="AA74" s="186"/>
      <c r="AB74" s="156"/>
      <c r="AC74" s="186"/>
      <c r="AE74" s="186"/>
    </row>
    <row r="75" spans="1:31" s="208" customFormat="1">
      <c r="A75" s="212" t="s">
        <v>223</v>
      </c>
      <c r="B75" s="213">
        <f t="shared" ref="B75:X75" si="27">+B72*B73*B74</f>
        <v>64</v>
      </c>
      <c r="C75" s="203">
        <f t="shared" si="27"/>
        <v>32</v>
      </c>
      <c r="D75" s="203">
        <f t="shared" si="27"/>
        <v>64</v>
      </c>
      <c r="E75" s="203">
        <f t="shared" si="27"/>
        <v>96</v>
      </c>
      <c r="F75" s="203">
        <f t="shared" si="27"/>
        <v>180</v>
      </c>
      <c r="G75" s="203">
        <f t="shared" si="27"/>
        <v>64</v>
      </c>
      <c r="H75" s="203">
        <f t="shared" si="27"/>
        <v>0</v>
      </c>
      <c r="I75" s="214"/>
      <c r="J75" s="203">
        <f t="shared" si="27"/>
        <v>192</v>
      </c>
      <c r="K75" s="203">
        <f t="shared" si="27"/>
        <v>64</v>
      </c>
      <c r="L75" s="203">
        <f t="shared" si="27"/>
        <v>64</v>
      </c>
      <c r="M75" s="203">
        <f t="shared" si="27"/>
        <v>0</v>
      </c>
      <c r="N75" s="203">
        <f t="shared" si="27"/>
        <v>64</v>
      </c>
      <c r="O75" s="203">
        <f t="shared" si="27"/>
        <v>180</v>
      </c>
      <c r="P75" s="203">
        <f t="shared" si="27"/>
        <v>64</v>
      </c>
      <c r="Q75" s="214"/>
      <c r="R75" s="203">
        <f t="shared" si="27"/>
        <v>64</v>
      </c>
      <c r="S75" s="203">
        <f t="shared" si="27"/>
        <v>96</v>
      </c>
      <c r="T75" s="203">
        <f t="shared" si="27"/>
        <v>0</v>
      </c>
      <c r="U75" s="203">
        <f t="shared" si="27"/>
        <v>180</v>
      </c>
      <c r="V75" s="203">
        <f t="shared" si="27"/>
        <v>64</v>
      </c>
      <c r="W75" s="203">
        <f t="shared" si="27"/>
        <v>32</v>
      </c>
      <c r="X75" s="203">
        <f t="shared" si="27"/>
        <v>64</v>
      </c>
      <c r="Y75" s="214"/>
      <c r="Z75" s="203"/>
      <c r="AA75" s="203"/>
      <c r="AB75" s="155"/>
      <c r="AC75" s="203"/>
      <c r="AE75" s="203"/>
    </row>
    <row r="76" spans="1:31" s="208" customFormat="1">
      <c r="A76" s="215"/>
      <c r="B76" s="216"/>
      <c r="C76" s="186"/>
      <c r="D76" s="186"/>
      <c r="E76" s="186"/>
      <c r="F76" s="186"/>
      <c r="G76" s="186"/>
      <c r="H76" s="186"/>
      <c r="I76" s="217"/>
      <c r="J76" s="186"/>
      <c r="K76" s="186"/>
      <c r="L76" s="186"/>
      <c r="M76" s="186"/>
      <c r="N76" s="186"/>
      <c r="O76" s="186"/>
      <c r="P76" s="186"/>
      <c r="Q76" s="217"/>
      <c r="R76" s="186"/>
      <c r="S76" s="186"/>
      <c r="T76" s="186"/>
      <c r="U76" s="186"/>
      <c r="V76" s="186"/>
      <c r="W76" s="186"/>
      <c r="X76" s="186"/>
      <c r="Y76" s="217"/>
      <c r="Z76" s="186"/>
      <c r="AA76" s="186"/>
      <c r="AB76" s="156"/>
      <c r="AC76" s="186"/>
      <c r="AE76" s="186"/>
    </row>
    <row r="77" spans="1:31">
      <c r="A77" s="199" t="s">
        <v>224</v>
      </c>
      <c r="B77" s="200"/>
      <c r="C77" s="201"/>
      <c r="D77" s="201"/>
      <c r="E77" s="201"/>
      <c r="F77" s="201"/>
      <c r="G77" s="201"/>
      <c r="H77" s="201"/>
      <c r="I77" s="202"/>
      <c r="J77" s="201"/>
      <c r="K77" s="201"/>
      <c r="L77" s="201"/>
      <c r="M77" s="201"/>
      <c r="N77" s="201"/>
      <c r="O77" s="201"/>
      <c r="P77" s="201"/>
      <c r="Q77" s="202"/>
      <c r="R77" s="201"/>
      <c r="S77" s="201"/>
      <c r="T77" s="201"/>
      <c r="U77" s="201"/>
      <c r="V77" s="201"/>
      <c r="W77" s="201"/>
      <c r="X77" s="201"/>
      <c r="Y77" s="202"/>
      <c r="Z77" s="201"/>
      <c r="AA77" s="203"/>
      <c r="AB77" s="156"/>
      <c r="AC77" s="203"/>
      <c r="AE77" s="203"/>
    </row>
    <row r="78" spans="1:31" s="208" customFormat="1">
      <c r="A78" s="204" t="s">
        <v>225</v>
      </c>
      <c r="B78" s="205">
        <v>12</v>
      </c>
      <c r="C78" s="206">
        <v>12</v>
      </c>
      <c r="D78" s="206">
        <v>12</v>
      </c>
      <c r="E78" s="206">
        <v>12</v>
      </c>
      <c r="F78" s="206">
        <v>12</v>
      </c>
      <c r="G78" s="206">
        <v>12</v>
      </c>
      <c r="H78" s="206">
        <v>12</v>
      </c>
      <c r="I78" s="207"/>
      <c r="J78" s="206">
        <v>12</v>
      </c>
      <c r="K78" s="206">
        <v>12</v>
      </c>
      <c r="L78" s="206">
        <v>12</v>
      </c>
      <c r="M78" s="206">
        <v>12</v>
      </c>
      <c r="N78" s="206">
        <v>12</v>
      </c>
      <c r="O78" s="206">
        <v>12</v>
      </c>
      <c r="P78" s="206">
        <v>12</v>
      </c>
      <c r="Q78" s="207"/>
      <c r="R78" s="206">
        <v>12</v>
      </c>
      <c r="S78" s="206">
        <v>12</v>
      </c>
      <c r="T78" s="206">
        <v>12</v>
      </c>
      <c r="U78" s="206">
        <v>12</v>
      </c>
      <c r="V78" s="206">
        <v>12</v>
      </c>
      <c r="W78" s="206">
        <v>12</v>
      </c>
      <c r="X78" s="206">
        <v>12</v>
      </c>
      <c r="Y78" s="207"/>
      <c r="Z78" s="206"/>
      <c r="AA78" s="203"/>
      <c r="AB78" s="156"/>
      <c r="AC78" s="203"/>
      <c r="AE78" s="203"/>
    </row>
    <row r="79" spans="1:31" s="208" customFormat="1">
      <c r="A79" s="204" t="s">
        <v>221</v>
      </c>
      <c r="B79" s="209">
        <f t="shared" ref="B79:X79" si="28">+B73+2</f>
        <v>6</v>
      </c>
      <c r="C79" s="210">
        <f t="shared" si="28"/>
        <v>6</v>
      </c>
      <c r="D79" s="210">
        <f t="shared" si="28"/>
        <v>6</v>
      </c>
      <c r="E79" s="210">
        <f t="shared" si="28"/>
        <v>8</v>
      </c>
      <c r="F79" s="210">
        <v>10</v>
      </c>
      <c r="G79" s="210">
        <f t="shared" si="28"/>
        <v>6</v>
      </c>
      <c r="H79" s="210">
        <v>0</v>
      </c>
      <c r="I79" s="211"/>
      <c r="J79" s="210">
        <v>16</v>
      </c>
      <c r="K79" s="210">
        <f t="shared" si="28"/>
        <v>6</v>
      </c>
      <c r="L79" s="210">
        <f t="shared" si="28"/>
        <v>6</v>
      </c>
      <c r="M79" s="210">
        <v>0</v>
      </c>
      <c r="N79" s="210">
        <f t="shared" si="28"/>
        <v>6</v>
      </c>
      <c r="O79" s="210">
        <v>10</v>
      </c>
      <c r="P79" s="210">
        <f t="shared" si="28"/>
        <v>6</v>
      </c>
      <c r="Q79" s="211"/>
      <c r="R79" s="210">
        <f t="shared" si="28"/>
        <v>6</v>
      </c>
      <c r="S79" s="210">
        <f t="shared" si="28"/>
        <v>8</v>
      </c>
      <c r="T79" s="210">
        <v>0</v>
      </c>
      <c r="U79" s="210">
        <v>10</v>
      </c>
      <c r="V79" s="210">
        <f t="shared" si="28"/>
        <v>6</v>
      </c>
      <c r="W79" s="210">
        <f t="shared" si="28"/>
        <v>6</v>
      </c>
      <c r="X79" s="210">
        <f t="shared" si="28"/>
        <v>6</v>
      </c>
      <c r="Y79" s="211"/>
      <c r="Z79" s="210"/>
      <c r="AA79" s="203"/>
      <c r="AB79" s="156"/>
      <c r="AC79" s="203"/>
      <c r="AE79" s="203"/>
    </row>
    <row r="80" spans="1:31" s="208" customFormat="1">
      <c r="A80" s="212" t="s">
        <v>226</v>
      </c>
      <c r="B80" s="213">
        <f t="shared" ref="B80:X80" si="29">+B78*B79</f>
        <v>72</v>
      </c>
      <c r="C80" s="203">
        <f t="shared" si="29"/>
        <v>72</v>
      </c>
      <c r="D80" s="203">
        <f t="shared" si="29"/>
        <v>72</v>
      </c>
      <c r="E80" s="203">
        <f t="shared" si="29"/>
        <v>96</v>
      </c>
      <c r="F80" s="203">
        <f t="shared" si="29"/>
        <v>120</v>
      </c>
      <c r="G80" s="203">
        <f t="shared" si="29"/>
        <v>72</v>
      </c>
      <c r="H80" s="203">
        <f t="shared" si="29"/>
        <v>0</v>
      </c>
      <c r="I80" s="214"/>
      <c r="J80" s="203">
        <f t="shared" si="29"/>
        <v>192</v>
      </c>
      <c r="K80" s="203">
        <f t="shared" si="29"/>
        <v>72</v>
      </c>
      <c r="L80" s="203">
        <f t="shared" si="29"/>
        <v>72</v>
      </c>
      <c r="M80" s="203">
        <f t="shared" si="29"/>
        <v>0</v>
      </c>
      <c r="N80" s="203">
        <f t="shared" si="29"/>
        <v>72</v>
      </c>
      <c r="O80" s="203">
        <f t="shared" si="29"/>
        <v>120</v>
      </c>
      <c r="P80" s="203">
        <f t="shared" si="29"/>
        <v>72</v>
      </c>
      <c r="Q80" s="214"/>
      <c r="R80" s="203">
        <f t="shared" si="29"/>
        <v>72</v>
      </c>
      <c r="S80" s="203">
        <f t="shared" si="29"/>
        <v>96</v>
      </c>
      <c r="T80" s="203">
        <f t="shared" si="29"/>
        <v>0</v>
      </c>
      <c r="U80" s="203">
        <f t="shared" si="29"/>
        <v>120</v>
      </c>
      <c r="V80" s="203">
        <f t="shared" si="29"/>
        <v>72</v>
      </c>
      <c r="W80" s="203">
        <f t="shared" si="29"/>
        <v>72</v>
      </c>
      <c r="X80" s="203">
        <f t="shared" si="29"/>
        <v>72</v>
      </c>
      <c r="Y80" s="214"/>
      <c r="Z80" s="203"/>
      <c r="AA80" s="203"/>
      <c r="AB80" s="155"/>
      <c r="AC80" s="203"/>
      <c r="AE80" s="203"/>
    </row>
    <row r="81" spans="1:31" s="208" customFormat="1">
      <c r="A81" s="212"/>
      <c r="B81" s="213"/>
      <c r="C81" s="203"/>
      <c r="D81" s="203"/>
      <c r="E81" s="203"/>
      <c r="F81" s="203"/>
      <c r="G81" s="203"/>
      <c r="H81" s="203"/>
      <c r="I81" s="214"/>
      <c r="J81" s="203"/>
      <c r="K81" s="203"/>
      <c r="L81" s="203"/>
      <c r="M81" s="203"/>
      <c r="N81" s="203"/>
      <c r="O81" s="203"/>
      <c r="P81" s="203"/>
      <c r="Q81" s="214"/>
      <c r="R81" s="203"/>
      <c r="S81" s="203"/>
      <c r="T81" s="203"/>
      <c r="U81" s="203"/>
      <c r="V81" s="203"/>
      <c r="W81" s="203"/>
      <c r="X81" s="203"/>
      <c r="Y81" s="214"/>
      <c r="Z81" s="203"/>
      <c r="AA81" s="203"/>
      <c r="AB81" s="155"/>
      <c r="AC81" s="203"/>
      <c r="AE81" s="203"/>
    </row>
    <row r="82" spans="1:31" s="208" customFormat="1" ht="13.5" thickBot="1">
      <c r="A82" s="218" t="s">
        <v>227</v>
      </c>
      <c r="B82" s="228">
        <f t="shared" ref="B82:X82" si="30">+B75+B80</f>
        <v>136</v>
      </c>
      <c r="C82" s="229">
        <f t="shared" si="30"/>
        <v>104</v>
      </c>
      <c r="D82" s="229">
        <f t="shared" si="30"/>
        <v>136</v>
      </c>
      <c r="E82" s="229">
        <f t="shared" si="30"/>
        <v>192</v>
      </c>
      <c r="F82" s="229">
        <f t="shared" si="30"/>
        <v>300</v>
      </c>
      <c r="G82" s="229">
        <f t="shared" si="30"/>
        <v>136</v>
      </c>
      <c r="H82" s="229">
        <f t="shared" si="30"/>
        <v>0</v>
      </c>
      <c r="I82" s="230"/>
      <c r="J82" s="229">
        <f t="shared" si="30"/>
        <v>384</v>
      </c>
      <c r="K82" s="229">
        <f t="shared" si="30"/>
        <v>136</v>
      </c>
      <c r="L82" s="229">
        <f t="shared" si="30"/>
        <v>136</v>
      </c>
      <c r="M82" s="229">
        <f t="shared" si="30"/>
        <v>0</v>
      </c>
      <c r="N82" s="229">
        <f t="shared" si="30"/>
        <v>136</v>
      </c>
      <c r="O82" s="229">
        <f t="shared" si="30"/>
        <v>300</v>
      </c>
      <c r="P82" s="229">
        <f t="shared" si="30"/>
        <v>136</v>
      </c>
      <c r="Q82" s="230"/>
      <c r="R82" s="229">
        <f t="shared" si="30"/>
        <v>136</v>
      </c>
      <c r="S82" s="229">
        <f t="shared" si="30"/>
        <v>192</v>
      </c>
      <c r="T82" s="229">
        <f t="shared" si="30"/>
        <v>0</v>
      </c>
      <c r="U82" s="229">
        <f t="shared" si="30"/>
        <v>300</v>
      </c>
      <c r="V82" s="229">
        <f t="shared" si="30"/>
        <v>136</v>
      </c>
      <c r="W82" s="229">
        <f t="shared" si="30"/>
        <v>104</v>
      </c>
      <c r="X82" s="229">
        <f t="shared" si="30"/>
        <v>136</v>
      </c>
      <c r="Y82" s="230"/>
      <c r="Z82" s="385"/>
      <c r="AA82" s="222"/>
      <c r="AB82" s="156"/>
      <c r="AC82" s="186"/>
      <c r="AE82" s="186"/>
    </row>
    <row r="83" spans="1:31" s="208" customFormat="1">
      <c r="A83" s="216"/>
      <c r="B83" s="216"/>
      <c r="C83" s="186"/>
      <c r="D83" s="186"/>
      <c r="E83" s="186"/>
      <c r="F83" s="186"/>
      <c r="G83" s="186"/>
      <c r="H83" s="186"/>
      <c r="I83" s="217"/>
      <c r="J83" s="186"/>
      <c r="K83" s="186"/>
      <c r="L83" s="186"/>
      <c r="M83" s="186"/>
      <c r="N83" s="186"/>
      <c r="O83" s="186"/>
      <c r="P83" s="186"/>
      <c r="Q83" s="217"/>
      <c r="R83" s="186"/>
      <c r="S83" s="186"/>
      <c r="T83" s="186"/>
      <c r="U83" s="186"/>
      <c r="V83" s="186"/>
      <c r="W83" s="186"/>
      <c r="X83" s="186"/>
      <c r="Y83" s="186"/>
      <c r="Z83" s="186"/>
      <c r="AA83" s="186"/>
      <c r="AB83" s="156"/>
      <c r="AC83" s="186"/>
      <c r="AE83" s="186"/>
    </row>
    <row r="84" spans="1:31" s="208" customFormat="1">
      <c r="A84" s="216"/>
      <c r="B84" s="216"/>
      <c r="C84" s="186"/>
      <c r="D84" s="186"/>
      <c r="E84" s="186"/>
      <c r="F84" s="186"/>
      <c r="G84" s="186"/>
      <c r="H84" s="186"/>
      <c r="I84" s="217"/>
      <c r="J84" s="186"/>
      <c r="K84" s="186"/>
      <c r="L84" s="186"/>
      <c r="M84" s="186"/>
      <c r="N84" s="186"/>
      <c r="O84" s="186"/>
      <c r="P84" s="186"/>
      <c r="Q84" s="217"/>
      <c r="R84" s="186"/>
      <c r="S84" s="186"/>
      <c r="T84" s="186"/>
      <c r="U84" s="186"/>
      <c r="V84" s="186"/>
      <c r="W84" s="186"/>
      <c r="X84" s="186"/>
      <c r="Y84" s="186"/>
      <c r="Z84" s="186"/>
      <c r="AA84" s="186"/>
      <c r="AB84" s="156"/>
      <c r="AC84" s="186"/>
      <c r="AE84" s="186"/>
    </row>
    <row r="85" spans="1:31">
      <c r="A85" s="199" t="s">
        <v>228</v>
      </c>
      <c r="B85" s="200"/>
      <c r="C85" s="201"/>
      <c r="D85" s="201"/>
      <c r="E85" s="201"/>
      <c r="F85" s="201"/>
      <c r="G85" s="201"/>
      <c r="H85" s="201"/>
      <c r="I85" s="202"/>
      <c r="J85" s="201"/>
      <c r="K85" s="201"/>
      <c r="L85" s="201"/>
      <c r="M85" s="201"/>
      <c r="N85" s="201"/>
      <c r="O85" s="201"/>
      <c r="P85" s="201"/>
      <c r="Q85" s="202"/>
      <c r="R85" s="201"/>
      <c r="S85" s="201"/>
      <c r="T85" s="201"/>
      <c r="U85" s="201"/>
      <c r="V85" s="201"/>
      <c r="W85" s="201"/>
      <c r="X85" s="201"/>
      <c r="Y85" s="201"/>
      <c r="Z85" s="201"/>
      <c r="AA85" s="203"/>
      <c r="AB85" s="156"/>
      <c r="AC85" s="203"/>
      <c r="AE85" s="203"/>
    </row>
    <row r="86" spans="1:31" s="208" customFormat="1">
      <c r="A86" s="204" t="s">
        <v>220</v>
      </c>
      <c r="B86" s="205">
        <v>10</v>
      </c>
      <c r="C86" s="206">
        <v>10</v>
      </c>
      <c r="D86" s="206">
        <v>10</v>
      </c>
      <c r="E86" s="206">
        <v>10</v>
      </c>
      <c r="F86" s="206">
        <v>10</v>
      </c>
      <c r="G86" s="206">
        <v>10</v>
      </c>
      <c r="H86" s="206">
        <v>10</v>
      </c>
      <c r="I86" s="207"/>
      <c r="J86" s="206">
        <v>10</v>
      </c>
      <c r="K86" s="206">
        <v>10</v>
      </c>
      <c r="L86" s="206">
        <v>10</v>
      </c>
      <c r="M86" s="206">
        <v>0</v>
      </c>
      <c r="N86" s="206">
        <v>10</v>
      </c>
      <c r="O86" s="206">
        <v>10</v>
      </c>
      <c r="P86" s="206">
        <v>10</v>
      </c>
      <c r="Q86" s="207"/>
      <c r="R86" s="206">
        <v>10</v>
      </c>
      <c r="S86" s="206">
        <v>10</v>
      </c>
      <c r="T86" s="206">
        <v>10</v>
      </c>
      <c r="U86" s="206">
        <v>10</v>
      </c>
      <c r="V86" s="206">
        <v>10</v>
      </c>
      <c r="W86" s="206">
        <v>10</v>
      </c>
      <c r="X86" s="206">
        <v>10</v>
      </c>
      <c r="Y86" s="206"/>
      <c r="Z86" s="206"/>
      <c r="AA86" s="203"/>
      <c r="AB86" s="156"/>
      <c r="AC86" s="203"/>
      <c r="AE86" s="203"/>
    </row>
    <row r="87" spans="1:31" s="208" customFormat="1">
      <c r="A87" s="204" t="s">
        <v>221</v>
      </c>
      <c r="B87" s="209">
        <v>12.5</v>
      </c>
      <c r="C87" s="210">
        <v>20</v>
      </c>
      <c r="D87" s="210">
        <v>20</v>
      </c>
      <c r="E87" s="210">
        <v>10</v>
      </c>
      <c r="F87" s="210">
        <v>10</v>
      </c>
      <c r="G87" s="210">
        <v>10</v>
      </c>
      <c r="H87" s="210">
        <v>10</v>
      </c>
      <c r="I87" s="211"/>
      <c r="J87" s="210">
        <v>10</v>
      </c>
      <c r="K87" s="210">
        <v>20</v>
      </c>
      <c r="L87" s="210">
        <v>13</v>
      </c>
      <c r="M87" s="210">
        <v>0</v>
      </c>
      <c r="N87" s="210">
        <v>10</v>
      </c>
      <c r="O87" s="210">
        <v>10</v>
      </c>
      <c r="P87" s="210">
        <v>10</v>
      </c>
      <c r="Q87" s="211"/>
      <c r="R87" s="210">
        <v>10</v>
      </c>
      <c r="S87" s="210">
        <v>10</v>
      </c>
      <c r="T87" s="210">
        <v>10</v>
      </c>
      <c r="U87" s="210">
        <v>10</v>
      </c>
      <c r="V87" s="210">
        <v>10</v>
      </c>
      <c r="W87" s="210">
        <v>10</v>
      </c>
      <c r="X87" s="210">
        <v>10</v>
      </c>
      <c r="Y87" s="210"/>
      <c r="Z87" s="210"/>
      <c r="AA87" s="219"/>
      <c r="AB87" s="156"/>
      <c r="AC87" s="203"/>
      <c r="AE87" s="203"/>
    </row>
    <row r="88" spans="1:31" s="208" customFormat="1">
      <c r="A88" s="183" t="s">
        <v>222</v>
      </c>
      <c r="B88" s="183">
        <v>2</v>
      </c>
      <c r="C88" s="184">
        <v>2</v>
      </c>
      <c r="D88" s="184">
        <v>2</v>
      </c>
      <c r="E88" s="184">
        <v>2</v>
      </c>
      <c r="F88" s="184">
        <v>2</v>
      </c>
      <c r="G88" s="184">
        <v>2</v>
      </c>
      <c r="H88" s="184">
        <v>2</v>
      </c>
      <c r="I88" s="185"/>
      <c r="J88" s="184">
        <v>2</v>
      </c>
      <c r="K88" s="184">
        <v>2</v>
      </c>
      <c r="L88" s="184">
        <v>2</v>
      </c>
      <c r="M88" s="184">
        <v>0</v>
      </c>
      <c r="N88" s="184">
        <v>2</v>
      </c>
      <c r="O88" s="184">
        <v>2</v>
      </c>
      <c r="P88" s="184">
        <v>2</v>
      </c>
      <c r="Q88" s="185"/>
      <c r="R88" s="184">
        <v>2</v>
      </c>
      <c r="S88" s="184">
        <v>2</v>
      </c>
      <c r="T88" s="184">
        <v>2</v>
      </c>
      <c r="U88" s="184">
        <v>2</v>
      </c>
      <c r="V88" s="184">
        <v>2</v>
      </c>
      <c r="W88" s="184">
        <v>2</v>
      </c>
      <c r="X88" s="184">
        <v>2</v>
      </c>
      <c r="Y88" s="184"/>
      <c r="Z88" s="184"/>
      <c r="AA88" s="186"/>
      <c r="AB88" s="156"/>
      <c r="AC88" s="186"/>
      <c r="AE88" s="186"/>
    </row>
    <row r="89" spans="1:31" s="208" customFormat="1">
      <c r="A89" s="212" t="s">
        <v>223</v>
      </c>
      <c r="B89" s="213">
        <f t="shared" ref="B89:X89" si="31">+B86*B87*B88</f>
        <v>250</v>
      </c>
      <c r="C89" s="203">
        <f t="shared" si="31"/>
        <v>400</v>
      </c>
      <c r="D89" s="203">
        <f t="shared" si="31"/>
        <v>400</v>
      </c>
      <c r="E89" s="203">
        <f t="shared" si="31"/>
        <v>200</v>
      </c>
      <c r="F89" s="203">
        <f t="shared" si="31"/>
        <v>200</v>
      </c>
      <c r="G89" s="203">
        <f t="shared" si="31"/>
        <v>200</v>
      </c>
      <c r="H89" s="203">
        <f t="shared" si="31"/>
        <v>200</v>
      </c>
      <c r="I89" s="214"/>
      <c r="J89" s="203">
        <f t="shared" si="31"/>
        <v>200</v>
      </c>
      <c r="K89" s="203">
        <f t="shared" si="31"/>
        <v>400</v>
      </c>
      <c r="L89" s="203">
        <f t="shared" si="31"/>
        <v>260</v>
      </c>
      <c r="M89" s="203">
        <f t="shared" si="31"/>
        <v>0</v>
      </c>
      <c r="N89" s="203">
        <f t="shared" si="31"/>
        <v>200</v>
      </c>
      <c r="O89" s="203">
        <f t="shared" si="31"/>
        <v>200</v>
      </c>
      <c r="P89" s="203">
        <f t="shared" si="31"/>
        <v>200</v>
      </c>
      <c r="Q89" s="214"/>
      <c r="R89" s="203">
        <f t="shared" si="31"/>
        <v>200</v>
      </c>
      <c r="S89" s="203">
        <f t="shared" si="31"/>
        <v>200</v>
      </c>
      <c r="T89" s="203">
        <f t="shared" si="31"/>
        <v>200</v>
      </c>
      <c r="U89" s="203">
        <f t="shared" si="31"/>
        <v>200</v>
      </c>
      <c r="V89" s="203">
        <f t="shared" si="31"/>
        <v>200</v>
      </c>
      <c r="W89" s="203">
        <f t="shared" si="31"/>
        <v>200</v>
      </c>
      <c r="X89" s="203">
        <f t="shared" si="31"/>
        <v>200</v>
      </c>
      <c r="Y89" s="203"/>
      <c r="Z89" s="203"/>
      <c r="AA89" s="203"/>
      <c r="AB89" s="155"/>
      <c r="AC89" s="203"/>
      <c r="AE89" s="203"/>
    </row>
    <row r="90" spans="1:31" s="208" customFormat="1">
      <c r="A90" s="215"/>
      <c r="B90" s="216"/>
      <c r="C90" s="186"/>
      <c r="D90" s="186"/>
      <c r="E90" s="186"/>
      <c r="F90" s="186"/>
      <c r="G90" s="186"/>
      <c r="H90" s="186"/>
      <c r="I90" s="217"/>
      <c r="J90" s="186"/>
      <c r="K90" s="186"/>
      <c r="L90" s="186"/>
      <c r="M90" s="186"/>
      <c r="N90" s="186"/>
      <c r="O90" s="186"/>
      <c r="P90" s="186"/>
      <c r="Q90" s="217"/>
      <c r="R90" s="186"/>
      <c r="S90" s="186"/>
      <c r="T90" s="186"/>
      <c r="U90" s="186"/>
      <c r="V90" s="186"/>
      <c r="W90" s="186"/>
      <c r="X90" s="186"/>
      <c r="Y90" s="186"/>
      <c r="Z90" s="186"/>
      <c r="AA90" s="186"/>
      <c r="AB90" s="156"/>
      <c r="AC90" s="186"/>
      <c r="AE90" s="186"/>
    </row>
    <row r="91" spans="1:31" s="208" customFormat="1" ht="13.5" thickBot="1">
      <c r="A91" s="218" t="s">
        <v>229</v>
      </c>
      <c r="B91" s="228">
        <f t="shared" ref="B91:X91" si="32">+B89</f>
        <v>250</v>
      </c>
      <c r="C91" s="229">
        <f t="shared" si="32"/>
        <v>400</v>
      </c>
      <c r="D91" s="229">
        <f t="shared" si="32"/>
        <v>400</v>
      </c>
      <c r="E91" s="229">
        <f t="shared" si="32"/>
        <v>200</v>
      </c>
      <c r="F91" s="229">
        <f t="shared" si="32"/>
        <v>200</v>
      </c>
      <c r="G91" s="229">
        <f t="shared" si="32"/>
        <v>200</v>
      </c>
      <c r="H91" s="229">
        <f t="shared" si="32"/>
        <v>200</v>
      </c>
      <c r="I91" s="230"/>
      <c r="J91" s="229">
        <f t="shared" si="32"/>
        <v>200</v>
      </c>
      <c r="K91" s="229">
        <f t="shared" si="32"/>
        <v>400</v>
      </c>
      <c r="L91" s="229">
        <f t="shared" si="32"/>
        <v>260</v>
      </c>
      <c r="M91" s="229">
        <f t="shared" si="32"/>
        <v>0</v>
      </c>
      <c r="N91" s="229">
        <f t="shared" si="32"/>
        <v>200</v>
      </c>
      <c r="O91" s="229">
        <f t="shared" si="32"/>
        <v>200</v>
      </c>
      <c r="P91" s="229">
        <f t="shared" si="32"/>
        <v>200</v>
      </c>
      <c r="Q91" s="230"/>
      <c r="R91" s="229">
        <f t="shared" si="32"/>
        <v>200</v>
      </c>
      <c r="S91" s="229">
        <f t="shared" si="32"/>
        <v>200</v>
      </c>
      <c r="T91" s="229">
        <f t="shared" si="32"/>
        <v>200</v>
      </c>
      <c r="U91" s="229">
        <f t="shared" si="32"/>
        <v>200</v>
      </c>
      <c r="V91" s="229">
        <f t="shared" si="32"/>
        <v>200</v>
      </c>
      <c r="W91" s="229">
        <f t="shared" si="32"/>
        <v>200</v>
      </c>
      <c r="X91" s="229">
        <f t="shared" si="32"/>
        <v>200</v>
      </c>
      <c r="Y91" s="229"/>
      <c r="Z91" s="385"/>
      <c r="AA91" s="222"/>
      <c r="AB91" s="156"/>
      <c r="AC91" s="186"/>
      <c r="AE91" s="186"/>
    </row>
    <row r="92" spans="1:31" s="208" customFormat="1">
      <c r="A92" s="220"/>
      <c r="B92" s="221"/>
      <c r="C92" s="222"/>
      <c r="D92" s="222"/>
      <c r="E92" s="222"/>
      <c r="F92" s="222"/>
      <c r="G92" s="222"/>
      <c r="H92" s="222"/>
      <c r="I92" s="223"/>
      <c r="J92" s="222"/>
      <c r="K92" s="222"/>
      <c r="L92" s="222"/>
      <c r="M92" s="222"/>
      <c r="N92" s="222"/>
      <c r="O92" s="222"/>
      <c r="P92" s="222"/>
      <c r="Q92" s="223"/>
      <c r="R92" s="222"/>
      <c r="S92" s="222"/>
      <c r="T92" s="222"/>
      <c r="U92" s="222"/>
      <c r="V92" s="222"/>
      <c r="W92" s="222"/>
      <c r="X92" s="222"/>
      <c r="Y92" s="222"/>
      <c r="Z92" s="222"/>
      <c r="AA92" s="222"/>
      <c r="AB92" s="155"/>
      <c r="AC92" s="186"/>
      <c r="AE92" s="186"/>
    </row>
    <row r="93" spans="1:31" s="208" customFormat="1">
      <c r="A93" s="220" t="s">
        <v>202</v>
      </c>
      <c r="B93" s="221"/>
      <c r="C93" s="222"/>
      <c r="D93" s="222"/>
      <c r="E93" s="222"/>
      <c r="F93" s="222"/>
      <c r="G93" s="222"/>
      <c r="H93" s="222">
        <v>2100</v>
      </c>
      <c r="I93" s="223"/>
      <c r="J93" s="222"/>
      <c r="K93" s="222"/>
      <c r="L93" s="222"/>
      <c r="M93" s="222"/>
      <c r="N93" s="222"/>
      <c r="O93" s="222"/>
      <c r="P93" s="222">
        <v>1800</v>
      </c>
      <c r="Q93" s="223"/>
      <c r="R93" s="222"/>
      <c r="S93" s="222"/>
      <c r="T93" s="222"/>
      <c r="U93" s="222"/>
      <c r="V93" s="222"/>
      <c r="W93" s="222"/>
      <c r="X93" s="222"/>
      <c r="Y93" s="222"/>
      <c r="Z93" s="222"/>
      <c r="AA93" s="222"/>
      <c r="AB93" s="155"/>
      <c r="AC93" s="186"/>
      <c r="AE93" s="186"/>
    </row>
    <row r="94" spans="1:31" s="208" customFormat="1">
      <c r="A94" s="224" t="s">
        <v>230</v>
      </c>
      <c r="B94" s="225">
        <v>0.5</v>
      </c>
      <c r="C94" s="226">
        <v>0.5</v>
      </c>
      <c r="D94" s="226">
        <v>0.5</v>
      </c>
      <c r="E94" s="226">
        <v>0.5</v>
      </c>
      <c r="F94" s="226">
        <v>0.5</v>
      </c>
      <c r="G94" s="226">
        <v>0.5</v>
      </c>
      <c r="H94" s="226">
        <v>0.5</v>
      </c>
      <c r="I94" s="227"/>
      <c r="J94" s="226">
        <v>0.5</v>
      </c>
      <c r="K94" s="226">
        <v>0.5</v>
      </c>
      <c r="L94" s="226">
        <v>0.5</v>
      </c>
      <c r="M94" s="233">
        <v>0</v>
      </c>
      <c r="N94" s="226">
        <v>0.5</v>
      </c>
      <c r="O94" s="226">
        <v>0.5</v>
      </c>
      <c r="P94" s="226">
        <v>0.5</v>
      </c>
      <c r="Q94" s="227"/>
      <c r="R94" s="226">
        <v>0.5</v>
      </c>
      <c r="S94" s="226">
        <v>0.5</v>
      </c>
      <c r="T94" s="226">
        <v>0.5</v>
      </c>
      <c r="U94" s="226">
        <v>0.5</v>
      </c>
      <c r="V94" s="226">
        <v>0.5</v>
      </c>
      <c r="W94" s="226">
        <v>0.5</v>
      </c>
      <c r="X94" s="226">
        <v>0.5</v>
      </c>
      <c r="Y94" s="226"/>
      <c r="Z94" s="226"/>
      <c r="AA94" s="222"/>
      <c r="AB94" s="155"/>
      <c r="AC94" s="186"/>
      <c r="AE94" s="186"/>
    </row>
    <row r="95" spans="1:31" s="208" customFormat="1">
      <c r="A95" s="224" t="s">
        <v>225</v>
      </c>
      <c r="B95" s="221">
        <v>200</v>
      </c>
      <c r="C95" s="222">
        <v>200</v>
      </c>
      <c r="D95" s="222">
        <v>200</v>
      </c>
      <c r="E95" s="222">
        <v>200</v>
      </c>
      <c r="F95" s="222">
        <v>200</v>
      </c>
      <c r="G95" s="222">
        <v>200</v>
      </c>
      <c r="H95" s="222">
        <v>200</v>
      </c>
      <c r="I95" s="223"/>
      <c r="J95" s="222">
        <v>200</v>
      </c>
      <c r="K95" s="222">
        <v>200</v>
      </c>
      <c r="L95" s="222">
        <v>200</v>
      </c>
      <c r="M95" s="233">
        <v>0</v>
      </c>
      <c r="N95" s="222">
        <v>200</v>
      </c>
      <c r="O95" s="222">
        <v>200</v>
      </c>
      <c r="P95" s="222">
        <v>200</v>
      </c>
      <c r="Q95" s="223"/>
      <c r="R95" s="222">
        <v>200</v>
      </c>
      <c r="S95" s="222">
        <v>200</v>
      </c>
      <c r="T95" s="222">
        <v>200</v>
      </c>
      <c r="U95" s="222">
        <v>200</v>
      </c>
      <c r="V95" s="222">
        <v>200</v>
      </c>
      <c r="W95" s="222">
        <v>200</v>
      </c>
      <c r="X95" s="222">
        <v>200</v>
      </c>
      <c r="Y95" s="222"/>
      <c r="Z95" s="222"/>
      <c r="AA95" s="222"/>
      <c r="AB95" s="155"/>
      <c r="AC95" s="186"/>
      <c r="AE95" s="186"/>
    </row>
    <row r="96" spans="1:31" s="208" customFormat="1" ht="13.5" thickBot="1">
      <c r="A96" s="218" t="s">
        <v>231</v>
      </c>
      <c r="B96" s="228">
        <f t="shared" ref="B96:X96" si="33">+B94*B95</f>
        <v>100</v>
      </c>
      <c r="C96" s="229">
        <f t="shared" si="33"/>
        <v>100</v>
      </c>
      <c r="D96" s="229">
        <f t="shared" si="33"/>
        <v>100</v>
      </c>
      <c r="E96" s="229">
        <f t="shared" si="33"/>
        <v>100</v>
      </c>
      <c r="F96" s="229">
        <f t="shared" si="33"/>
        <v>100</v>
      </c>
      <c r="G96" s="229">
        <f t="shared" si="33"/>
        <v>100</v>
      </c>
      <c r="H96" s="229">
        <f t="shared" si="33"/>
        <v>100</v>
      </c>
      <c r="I96" s="230"/>
      <c r="J96" s="229">
        <f t="shared" si="33"/>
        <v>100</v>
      </c>
      <c r="K96" s="229">
        <f t="shared" si="33"/>
        <v>100</v>
      </c>
      <c r="L96" s="229">
        <f t="shared" si="33"/>
        <v>100</v>
      </c>
      <c r="M96" s="229">
        <f t="shared" si="33"/>
        <v>0</v>
      </c>
      <c r="N96" s="229">
        <f t="shared" si="33"/>
        <v>100</v>
      </c>
      <c r="O96" s="229">
        <f t="shared" si="33"/>
        <v>100</v>
      </c>
      <c r="P96" s="229">
        <f t="shared" si="33"/>
        <v>100</v>
      </c>
      <c r="Q96" s="230"/>
      <c r="R96" s="229">
        <f t="shared" si="33"/>
        <v>100</v>
      </c>
      <c r="S96" s="229">
        <f t="shared" si="33"/>
        <v>100</v>
      </c>
      <c r="T96" s="229">
        <f t="shared" si="33"/>
        <v>100</v>
      </c>
      <c r="U96" s="229">
        <f t="shared" si="33"/>
        <v>100</v>
      </c>
      <c r="V96" s="229">
        <f t="shared" si="33"/>
        <v>100</v>
      </c>
      <c r="W96" s="229">
        <f t="shared" si="33"/>
        <v>100</v>
      </c>
      <c r="X96" s="229">
        <f t="shared" si="33"/>
        <v>100</v>
      </c>
      <c r="Y96" s="229"/>
      <c r="Z96" s="385"/>
      <c r="AA96" s="222"/>
      <c r="AB96" s="156"/>
      <c r="AC96" s="186"/>
      <c r="AE96" s="186"/>
    </row>
    <row r="97" spans="1:31" s="208" customFormat="1">
      <c r="A97" s="220"/>
      <c r="B97" s="221"/>
      <c r="C97" s="222"/>
      <c r="D97" s="222"/>
      <c r="E97" s="222"/>
      <c r="F97" s="222"/>
      <c r="G97" s="222"/>
      <c r="H97" s="222"/>
      <c r="I97" s="223"/>
      <c r="J97" s="222"/>
      <c r="K97" s="222"/>
      <c r="L97" s="222"/>
      <c r="M97" s="222"/>
      <c r="N97" s="222"/>
      <c r="O97" s="222"/>
      <c r="P97" s="222"/>
      <c r="Q97" s="223"/>
      <c r="R97" s="222"/>
      <c r="S97" s="222"/>
      <c r="T97" s="222"/>
      <c r="U97" s="222"/>
      <c r="V97" s="222"/>
      <c r="W97" s="222"/>
      <c r="X97" s="222"/>
      <c r="Y97" s="222"/>
      <c r="Z97" s="222"/>
      <c r="AA97" s="222"/>
      <c r="AB97" s="155"/>
      <c r="AC97" s="186"/>
      <c r="AE97" s="186"/>
    </row>
    <row r="98" spans="1:31" s="208" customFormat="1">
      <c r="A98" s="220"/>
      <c r="B98" s="221"/>
      <c r="C98" s="222"/>
      <c r="D98" s="222"/>
      <c r="E98" s="222"/>
      <c r="F98" s="222"/>
      <c r="G98" s="222"/>
      <c r="H98" s="222"/>
      <c r="I98" s="223"/>
      <c r="J98" s="222"/>
      <c r="K98" s="222"/>
      <c r="L98" s="222"/>
      <c r="M98" s="222"/>
      <c r="N98" s="222"/>
      <c r="O98" s="222"/>
      <c r="P98" s="222"/>
      <c r="Q98" s="223"/>
      <c r="R98" s="222"/>
      <c r="S98" s="222"/>
      <c r="T98" s="222"/>
      <c r="U98" s="222"/>
      <c r="V98" s="222"/>
      <c r="W98" s="222"/>
      <c r="X98" s="222"/>
      <c r="Y98" s="222"/>
      <c r="Z98" s="222"/>
      <c r="AA98" s="222"/>
      <c r="AB98" s="155"/>
      <c r="AC98" s="186"/>
      <c r="AE98" s="186"/>
    </row>
    <row r="99" spans="1:31" s="208" customFormat="1">
      <c r="A99" s="220" t="s">
        <v>204</v>
      </c>
      <c r="B99" s="221"/>
      <c r="C99" s="222"/>
      <c r="D99" s="222"/>
      <c r="E99" s="222"/>
      <c r="F99" s="222"/>
      <c r="G99" s="222"/>
      <c r="H99" s="222"/>
      <c r="I99" s="223"/>
      <c r="J99" s="222"/>
      <c r="K99" s="222"/>
      <c r="L99" s="222"/>
      <c r="M99" s="222"/>
      <c r="N99" s="222"/>
      <c r="O99" s="222"/>
      <c r="P99" s="222"/>
      <c r="Q99" s="223"/>
      <c r="R99" s="222"/>
      <c r="S99" s="222"/>
      <c r="T99" s="222"/>
      <c r="U99" s="222"/>
      <c r="V99" s="222"/>
      <c r="W99" s="222"/>
      <c r="X99" s="222"/>
      <c r="Y99" s="222"/>
      <c r="Z99" s="222"/>
      <c r="AA99" s="222"/>
      <c r="AB99" s="155"/>
      <c r="AC99" s="186"/>
      <c r="AE99" s="186"/>
    </row>
    <row r="100" spans="1:31" s="208" customFormat="1">
      <c r="A100" s="224" t="s">
        <v>230</v>
      </c>
      <c r="B100" s="225">
        <v>0.5</v>
      </c>
      <c r="C100" s="226">
        <v>0.5</v>
      </c>
      <c r="D100" s="226">
        <v>0.5</v>
      </c>
      <c r="E100" s="226">
        <v>0.5</v>
      </c>
      <c r="F100" s="226">
        <v>0.5</v>
      </c>
      <c r="G100" s="226">
        <v>0.5</v>
      </c>
      <c r="H100" s="226">
        <v>0.5</v>
      </c>
      <c r="I100" s="227"/>
      <c r="J100" s="226">
        <v>0.5</v>
      </c>
      <c r="K100" s="226">
        <v>0.5</v>
      </c>
      <c r="L100" s="226">
        <v>0.5</v>
      </c>
      <c r="M100" s="233">
        <v>0</v>
      </c>
      <c r="N100" s="226">
        <v>0.5</v>
      </c>
      <c r="O100" s="226">
        <v>0.5</v>
      </c>
      <c r="P100" s="226">
        <v>0.5</v>
      </c>
      <c r="Q100" s="227"/>
      <c r="R100" s="226">
        <v>0.5</v>
      </c>
      <c r="S100" s="226">
        <v>0.5</v>
      </c>
      <c r="T100" s="226">
        <v>0.5</v>
      </c>
      <c r="U100" s="226">
        <v>0.5</v>
      </c>
      <c r="V100" s="226">
        <v>0.5</v>
      </c>
      <c r="W100" s="226">
        <v>0.5</v>
      </c>
      <c r="X100" s="226">
        <v>0.5</v>
      </c>
      <c r="Y100" s="226"/>
      <c r="Z100" s="226"/>
      <c r="AA100" s="222"/>
      <c r="AB100" s="155"/>
      <c r="AC100" s="186"/>
      <c r="AE100" s="186"/>
    </row>
    <row r="101" spans="1:31" s="208" customFormat="1">
      <c r="A101" s="224" t="s">
        <v>225</v>
      </c>
      <c r="B101" s="221">
        <v>200</v>
      </c>
      <c r="C101" s="222">
        <v>200</v>
      </c>
      <c r="D101" s="222">
        <v>200</v>
      </c>
      <c r="E101" s="222">
        <v>200</v>
      </c>
      <c r="F101" s="222">
        <v>200</v>
      </c>
      <c r="G101" s="222">
        <v>200</v>
      </c>
      <c r="H101" s="222">
        <v>200</v>
      </c>
      <c r="I101" s="223"/>
      <c r="J101" s="222">
        <v>200</v>
      </c>
      <c r="K101" s="222">
        <v>200</v>
      </c>
      <c r="L101" s="222">
        <v>200</v>
      </c>
      <c r="M101" s="233">
        <v>0</v>
      </c>
      <c r="N101" s="222">
        <v>200</v>
      </c>
      <c r="O101" s="222">
        <v>200</v>
      </c>
      <c r="P101" s="222">
        <v>200</v>
      </c>
      <c r="Q101" s="223"/>
      <c r="R101" s="222">
        <v>200</v>
      </c>
      <c r="S101" s="222">
        <v>200</v>
      </c>
      <c r="T101" s="222">
        <v>200</v>
      </c>
      <c r="U101" s="222">
        <v>200</v>
      </c>
      <c r="V101" s="222">
        <v>200</v>
      </c>
      <c r="W101" s="222">
        <v>200</v>
      </c>
      <c r="X101" s="222">
        <v>200</v>
      </c>
      <c r="Y101" s="222"/>
      <c r="Z101" s="222"/>
      <c r="AA101" s="222"/>
      <c r="AB101" s="155"/>
      <c r="AC101" s="186"/>
      <c r="AE101" s="186"/>
    </row>
    <row r="102" spans="1:31" s="208" customFormat="1" ht="13.5" thickBot="1">
      <c r="A102" s="218" t="s">
        <v>231</v>
      </c>
      <c r="B102" s="228">
        <f t="shared" ref="B102:X102" si="34">+B100*B101</f>
        <v>100</v>
      </c>
      <c r="C102" s="229">
        <f t="shared" si="34"/>
        <v>100</v>
      </c>
      <c r="D102" s="229">
        <f t="shared" si="34"/>
        <v>100</v>
      </c>
      <c r="E102" s="229">
        <f t="shared" si="34"/>
        <v>100</v>
      </c>
      <c r="F102" s="229">
        <f t="shared" si="34"/>
        <v>100</v>
      </c>
      <c r="G102" s="229">
        <f t="shared" si="34"/>
        <v>100</v>
      </c>
      <c r="H102" s="229">
        <f t="shared" si="34"/>
        <v>100</v>
      </c>
      <c r="I102" s="230"/>
      <c r="J102" s="229">
        <f t="shared" si="34"/>
        <v>100</v>
      </c>
      <c r="K102" s="229">
        <f t="shared" si="34"/>
        <v>100</v>
      </c>
      <c r="L102" s="229">
        <f t="shared" si="34"/>
        <v>100</v>
      </c>
      <c r="M102" s="229">
        <f t="shared" si="34"/>
        <v>0</v>
      </c>
      <c r="N102" s="229">
        <f t="shared" si="34"/>
        <v>100</v>
      </c>
      <c r="O102" s="229">
        <f t="shared" si="34"/>
        <v>100</v>
      </c>
      <c r="P102" s="229">
        <f t="shared" si="34"/>
        <v>100</v>
      </c>
      <c r="Q102" s="230"/>
      <c r="R102" s="229">
        <f t="shared" si="34"/>
        <v>100</v>
      </c>
      <c r="S102" s="229">
        <f t="shared" si="34"/>
        <v>100</v>
      </c>
      <c r="T102" s="229">
        <f t="shared" si="34"/>
        <v>100</v>
      </c>
      <c r="U102" s="229">
        <f t="shared" si="34"/>
        <v>100</v>
      </c>
      <c r="V102" s="229">
        <f t="shared" si="34"/>
        <v>100</v>
      </c>
      <c r="W102" s="229">
        <f t="shared" si="34"/>
        <v>100</v>
      </c>
      <c r="X102" s="229">
        <f t="shared" si="34"/>
        <v>100</v>
      </c>
      <c r="Y102" s="229"/>
      <c r="Z102" s="385"/>
      <c r="AA102" s="222"/>
      <c r="AB102" s="156"/>
      <c r="AC102" s="186"/>
      <c r="AE102" s="186"/>
    </row>
    <row r="103" spans="1:31" s="208" customFormat="1">
      <c r="A103" s="65"/>
      <c r="B103" s="231"/>
      <c r="C103" s="232"/>
      <c r="D103" s="232"/>
      <c r="E103" s="232"/>
      <c r="F103" s="232"/>
      <c r="G103" s="232"/>
      <c r="H103" s="233"/>
      <c r="I103" s="237"/>
      <c r="J103" s="233"/>
      <c r="K103" s="233"/>
      <c r="L103" s="233"/>
      <c r="M103" s="233"/>
      <c r="N103" s="233"/>
      <c r="O103" s="233"/>
      <c r="P103" s="233"/>
      <c r="Q103" s="237"/>
      <c r="R103" s="233"/>
      <c r="S103" s="233"/>
      <c r="T103" s="233"/>
      <c r="U103" s="233"/>
      <c r="V103" s="233"/>
      <c r="W103" s="233"/>
      <c r="X103" s="233"/>
      <c r="Y103" s="233"/>
      <c r="Z103" s="233"/>
      <c r="AA103" s="233"/>
      <c r="AB103" s="65"/>
      <c r="AC103" s="234"/>
      <c r="AE103" s="234"/>
    </row>
    <row r="104" spans="1:31">
      <c r="A104" s="235" t="s">
        <v>232</v>
      </c>
      <c r="B104" s="236"/>
      <c r="C104" s="233"/>
      <c r="D104" s="233"/>
      <c r="E104" s="233"/>
      <c r="F104" s="233"/>
      <c r="G104" s="233"/>
      <c r="H104" s="233"/>
      <c r="I104" s="237"/>
      <c r="J104" s="233"/>
      <c r="K104" s="233"/>
      <c r="L104" s="233"/>
      <c r="M104" s="233"/>
      <c r="N104" s="233"/>
      <c r="O104" s="233"/>
      <c r="P104" s="233"/>
      <c r="Q104" s="237"/>
      <c r="R104" s="233"/>
      <c r="S104" s="233"/>
      <c r="T104" s="233"/>
      <c r="U104" s="233"/>
      <c r="V104" s="233"/>
      <c r="W104" s="233"/>
      <c r="X104" s="233"/>
      <c r="Y104" s="233"/>
      <c r="Z104" s="233"/>
      <c r="AA104" s="233"/>
    </row>
    <row r="105" spans="1:31">
      <c r="A105" s="65" t="s">
        <v>233</v>
      </c>
      <c r="B105" s="239">
        <v>136</v>
      </c>
      <c r="C105" s="240">
        <v>70</v>
      </c>
      <c r="D105" s="240">
        <v>40</v>
      </c>
      <c r="E105" s="240">
        <v>50</v>
      </c>
      <c r="F105" s="233">
        <v>0</v>
      </c>
      <c r="G105" s="233">
        <v>100</v>
      </c>
      <c r="H105" s="240">
        <v>0</v>
      </c>
      <c r="I105" s="241"/>
      <c r="J105" s="240">
        <v>50</v>
      </c>
      <c r="K105" s="240">
        <v>80</v>
      </c>
      <c r="L105" s="240">
        <v>240</v>
      </c>
      <c r="M105" s="233">
        <v>0</v>
      </c>
      <c r="N105" s="233">
        <v>100</v>
      </c>
      <c r="O105" s="233">
        <v>0</v>
      </c>
      <c r="P105" s="233">
        <v>100</v>
      </c>
      <c r="Q105" s="237"/>
      <c r="R105" s="240">
        <v>80</v>
      </c>
      <c r="S105" s="240">
        <v>50</v>
      </c>
      <c r="T105" s="233">
        <v>0</v>
      </c>
      <c r="U105" s="233">
        <v>0</v>
      </c>
      <c r="V105" s="233">
        <v>100</v>
      </c>
      <c r="W105" s="233">
        <v>200</v>
      </c>
      <c r="X105" s="240">
        <v>70</v>
      </c>
      <c r="Y105" s="240"/>
      <c r="Z105" s="240"/>
      <c r="AA105" s="233"/>
    </row>
    <row r="106" spans="1:31">
      <c r="A106" s="65" t="s">
        <v>234</v>
      </c>
      <c r="B106" s="239">
        <v>260</v>
      </c>
      <c r="C106" s="240">
        <v>100</v>
      </c>
      <c r="D106" s="240">
        <v>0</v>
      </c>
      <c r="E106" s="240">
        <v>0</v>
      </c>
      <c r="F106" s="233">
        <v>0</v>
      </c>
      <c r="G106" s="233">
        <v>100</v>
      </c>
      <c r="H106" s="240">
        <v>100</v>
      </c>
      <c r="I106" s="241"/>
      <c r="J106" s="233">
        <v>0</v>
      </c>
      <c r="K106" s="233">
        <v>0</v>
      </c>
      <c r="L106" s="240">
        <v>260</v>
      </c>
      <c r="M106" s="240">
        <v>100</v>
      </c>
      <c r="N106" s="233">
        <v>0</v>
      </c>
      <c r="O106" s="233">
        <v>0</v>
      </c>
      <c r="P106" s="233">
        <v>100</v>
      </c>
      <c r="Q106" s="237"/>
      <c r="R106" s="233">
        <v>0</v>
      </c>
      <c r="S106" s="240">
        <v>0</v>
      </c>
      <c r="T106" s="240">
        <v>100</v>
      </c>
      <c r="U106" s="233">
        <v>0</v>
      </c>
      <c r="V106" s="233">
        <v>100</v>
      </c>
      <c r="W106" s="233">
        <v>0</v>
      </c>
      <c r="X106" s="240">
        <v>0</v>
      </c>
      <c r="Y106" s="240"/>
      <c r="Z106" s="240"/>
      <c r="AA106" s="233"/>
    </row>
    <row r="107" spans="1:31">
      <c r="A107" s="65" t="s">
        <v>235</v>
      </c>
      <c r="B107" s="236">
        <v>0</v>
      </c>
      <c r="C107" s="233">
        <v>0</v>
      </c>
      <c r="D107" s="233">
        <v>0</v>
      </c>
      <c r="E107" s="233">
        <v>0</v>
      </c>
      <c r="F107" s="233">
        <v>0</v>
      </c>
      <c r="G107" s="233">
        <v>0</v>
      </c>
      <c r="H107" s="233">
        <v>0</v>
      </c>
      <c r="I107" s="237"/>
      <c r="J107" s="233">
        <v>0</v>
      </c>
      <c r="K107" s="233">
        <v>0</v>
      </c>
      <c r="L107" s="233">
        <v>0</v>
      </c>
      <c r="M107" s="233">
        <v>0</v>
      </c>
      <c r="N107" s="233">
        <v>0</v>
      </c>
      <c r="O107" s="233">
        <v>0</v>
      </c>
      <c r="P107" s="233">
        <v>0</v>
      </c>
      <c r="Q107" s="237"/>
      <c r="R107" s="233">
        <v>0</v>
      </c>
      <c r="S107" s="233">
        <v>0</v>
      </c>
      <c r="T107" s="233">
        <v>0</v>
      </c>
      <c r="U107" s="233">
        <v>0</v>
      </c>
      <c r="V107" s="233">
        <v>0</v>
      </c>
      <c r="W107" s="233">
        <v>0</v>
      </c>
      <c r="X107" s="233">
        <v>0</v>
      </c>
      <c r="Y107" s="233"/>
      <c r="Z107" s="233"/>
      <c r="AA107" s="233"/>
    </row>
    <row r="108" spans="1:31">
      <c r="A108" s="65" t="s">
        <v>236</v>
      </c>
      <c r="B108" s="236">
        <v>0</v>
      </c>
      <c r="C108" s="233">
        <v>0</v>
      </c>
      <c r="D108" s="233">
        <v>0</v>
      </c>
      <c r="E108" s="233">
        <v>0</v>
      </c>
      <c r="F108" s="233">
        <v>0</v>
      </c>
      <c r="G108" s="233">
        <v>0</v>
      </c>
      <c r="H108" s="233">
        <v>0</v>
      </c>
      <c r="I108" s="237"/>
      <c r="J108" s="240">
        <v>100</v>
      </c>
      <c r="K108" s="233">
        <v>0</v>
      </c>
      <c r="L108" s="233">
        <v>0</v>
      </c>
      <c r="M108" s="233">
        <v>0</v>
      </c>
      <c r="N108" s="233">
        <v>0</v>
      </c>
      <c r="O108" s="233">
        <v>0</v>
      </c>
      <c r="P108" s="233">
        <v>0</v>
      </c>
      <c r="Q108" s="237"/>
      <c r="R108" s="233">
        <v>0</v>
      </c>
      <c r="S108" s="240">
        <v>200</v>
      </c>
      <c r="T108" s="233">
        <v>0</v>
      </c>
      <c r="U108" s="233">
        <v>0</v>
      </c>
      <c r="V108" s="233">
        <v>0</v>
      </c>
      <c r="W108" s="233">
        <v>0</v>
      </c>
      <c r="X108" s="240">
        <v>100</v>
      </c>
      <c r="Y108" s="240"/>
      <c r="Z108" s="240"/>
      <c r="AA108" s="233"/>
    </row>
    <row r="109" spans="1:31">
      <c r="A109" s="65" t="s">
        <v>237</v>
      </c>
      <c r="B109" s="236">
        <v>0</v>
      </c>
      <c r="C109" s="233">
        <v>0</v>
      </c>
      <c r="D109" s="240">
        <v>10</v>
      </c>
      <c r="E109" s="240">
        <v>10</v>
      </c>
      <c r="F109" s="233">
        <v>0</v>
      </c>
      <c r="G109" s="233">
        <v>0</v>
      </c>
      <c r="H109" s="233">
        <v>0</v>
      </c>
      <c r="I109" s="237"/>
      <c r="J109" s="233">
        <v>0</v>
      </c>
      <c r="K109" s="240">
        <v>10</v>
      </c>
      <c r="L109" s="233">
        <v>0</v>
      </c>
      <c r="M109" s="233">
        <v>0</v>
      </c>
      <c r="N109" s="233">
        <v>0</v>
      </c>
      <c r="O109" s="233">
        <v>0</v>
      </c>
      <c r="P109" s="233">
        <v>0</v>
      </c>
      <c r="Q109" s="237"/>
      <c r="R109" s="240">
        <v>10</v>
      </c>
      <c r="S109" s="233">
        <v>0</v>
      </c>
      <c r="T109" s="233">
        <v>0</v>
      </c>
      <c r="U109" s="233">
        <v>0</v>
      </c>
      <c r="V109" s="233">
        <v>0</v>
      </c>
      <c r="W109" s="233">
        <v>0</v>
      </c>
      <c r="X109" s="233">
        <v>0</v>
      </c>
      <c r="Y109" s="233"/>
      <c r="Z109" s="233"/>
      <c r="AA109" s="233"/>
    </row>
    <row r="110" spans="1:31">
      <c r="A110" s="65" t="s">
        <v>238</v>
      </c>
      <c r="B110" s="236">
        <v>0</v>
      </c>
      <c r="C110" s="233">
        <v>0</v>
      </c>
      <c r="D110" s="233">
        <v>0</v>
      </c>
      <c r="E110" s="233">
        <v>0</v>
      </c>
      <c r="F110" s="233">
        <v>0</v>
      </c>
      <c r="G110" s="233">
        <v>0</v>
      </c>
      <c r="H110" s="233">
        <v>0</v>
      </c>
      <c r="I110" s="237"/>
      <c r="J110" s="233">
        <v>0</v>
      </c>
      <c r="K110" s="233">
        <v>0</v>
      </c>
      <c r="L110" s="233">
        <v>0</v>
      </c>
      <c r="M110" s="233">
        <v>0</v>
      </c>
      <c r="N110" s="233">
        <v>0</v>
      </c>
      <c r="O110" s="233">
        <v>0</v>
      </c>
      <c r="P110" s="233">
        <v>0</v>
      </c>
      <c r="Q110" s="237"/>
      <c r="R110" s="233">
        <v>0</v>
      </c>
      <c r="S110" s="233">
        <v>0</v>
      </c>
      <c r="T110" s="233">
        <v>0</v>
      </c>
      <c r="U110" s="233">
        <v>0</v>
      </c>
      <c r="V110" s="233">
        <v>0</v>
      </c>
      <c r="W110" s="233">
        <v>0</v>
      </c>
      <c r="X110" s="233">
        <v>0</v>
      </c>
      <c r="Y110" s="233"/>
      <c r="Z110" s="233"/>
      <c r="AA110" s="233"/>
    </row>
    <row r="111" spans="1:31" ht="13.5" thickBot="1">
      <c r="A111" s="242" t="s">
        <v>232</v>
      </c>
      <c r="B111" s="389">
        <f t="shared" ref="B111:X111" si="35">SUM(B105:B110)</f>
        <v>396</v>
      </c>
      <c r="C111" s="243">
        <f t="shared" si="35"/>
        <v>170</v>
      </c>
      <c r="D111" s="243">
        <f t="shared" si="35"/>
        <v>50</v>
      </c>
      <c r="E111" s="243">
        <f t="shared" si="35"/>
        <v>60</v>
      </c>
      <c r="F111" s="243">
        <f t="shared" si="35"/>
        <v>0</v>
      </c>
      <c r="G111" s="243">
        <f t="shared" si="35"/>
        <v>200</v>
      </c>
      <c r="H111" s="243">
        <f t="shared" si="35"/>
        <v>100</v>
      </c>
      <c r="I111" s="391"/>
      <c r="J111" s="243">
        <f t="shared" si="35"/>
        <v>150</v>
      </c>
      <c r="K111" s="243">
        <f t="shared" si="35"/>
        <v>90</v>
      </c>
      <c r="L111" s="243">
        <f t="shared" si="35"/>
        <v>500</v>
      </c>
      <c r="M111" s="243">
        <f t="shared" si="35"/>
        <v>100</v>
      </c>
      <c r="N111" s="243">
        <f t="shared" si="35"/>
        <v>100</v>
      </c>
      <c r="O111" s="243">
        <f t="shared" si="35"/>
        <v>0</v>
      </c>
      <c r="P111" s="243">
        <f t="shared" si="35"/>
        <v>200</v>
      </c>
      <c r="Q111" s="391"/>
      <c r="R111" s="243">
        <f t="shared" si="35"/>
        <v>90</v>
      </c>
      <c r="S111" s="243">
        <f t="shared" si="35"/>
        <v>250</v>
      </c>
      <c r="T111" s="243">
        <f t="shared" si="35"/>
        <v>100</v>
      </c>
      <c r="U111" s="243">
        <f t="shared" si="35"/>
        <v>0</v>
      </c>
      <c r="V111" s="243">
        <f t="shared" si="35"/>
        <v>200</v>
      </c>
      <c r="W111" s="243">
        <f t="shared" si="35"/>
        <v>200</v>
      </c>
      <c r="X111" s="243">
        <f t="shared" si="35"/>
        <v>170</v>
      </c>
      <c r="Y111" s="243"/>
      <c r="Z111" s="386"/>
      <c r="AA111" s="238"/>
    </row>
    <row r="112" spans="1:31">
      <c r="H112" s="233"/>
      <c r="I112" s="233"/>
      <c r="AA112" s="233"/>
    </row>
    <row r="113" spans="8:27">
      <c r="H113" s="233"/>
      <c r="I113" s="233"/>
      <c r="AA113" s="233"/>
    </row>
    <row r="114" spans="8:27">
      <c r="AA114" s="233"/>
    </row>
    <row r="115" spans="8:27">
      <c r="AA115" s="233"/>
    </row>
    <row r="116" spans="8:27">
      <c r="AA116" s="233"/>
    </row>
    <row r="117" spans="8:27">
      <c r="AA117" s="233"/>
    </row>
    <row r="118" spans="8:27">
      <c r="AA118" s="233"/>
    </row>
    <row r="119" spans="8:27">
      <c r="AA119" s="233"/>
    </row>
    <row r="120" spans="8:27">
      <c r="AA120" s="233"/>
    </row>
    <row r="121" spans="8:27">
      <c r="AA121" s="233"/>
    </row>
    <row r="122" spans="8:27">
      <c r="AA122" s="233"/>
    </row>
    <row r="123" spans="8:27">
      <c r="AA123" s="233"/>
    </row>
    <row r="124" spans="8:27">
      <c r="AA124" s="233"/>
    </row>
    <row r="125" spans="8:27">
      <c r="AA125" s="233"/>
    </row>
    <row r="126" spans="8:27">
      <c r="AA126" s="233"/>
    </row>
    <row r="127" spans="8:27">
      <c r="AA127" s="233"/>
    </row>
    <row r="128" spans="8:27">
      <c r="AA128" s="233"/>
    </row>
    <row r="129" spans="27:27">
      <c r="AA129" s="233"/>
    </row>
    <row r="130" spans="27:27">
      <c r="AA130" s="233"/>
    </row>
    <row r="131" spans="27:27">
      <c r="AA131" s="233"/>
    </row>
    <row r="132" spans="27:27">
      <c r="AA132" s="233"/>
    </row>
    <row r="133" spans="27:27">
      <c r="AA133" s="233"/>
    </row>
    <row r="134" spans="27:27">
      <c r="AA134" s="233"/>
    </row>
    <row r="135" spans="27:27">
      <c r="AA135" s="233"/>
    </row>
    <row r="136" spans="27:27">
      <c r="AA136" s="233"/>
    </row>
    <row r="137" spans="27:27">
      <c r="AA137" s="233"/>
    </row>
    <row r="138" spans="27:27">
      <c r="AA138" s="233"/>
    </row>
    <row r="139" spans="27:27">
      <c r="AA139" s="233"/>
    </row>
    <row r="140" spans="27:27">
      <c r="AA140" s="233"/>
    </row>
    <row r="141" spans="27:27">
      <c r="AA141" s="233"/>
    </row>
    <row r="142" spans="27:27">
      <c r="AA142" s="233"/>
    </row>
    <row r="143" spans="27:27">
      <c r="AA143" s="233"/>
    </row>
    <row r="144" spans="27:27">
      <c r="AA144" s="233"/>
    </row>
    <row r="145" spans="27:27">
      <c r="AA145" s="233"/>
    </row>
    <row r="146" spans="27:27">
      <c r="AA146" s="233"/>
    </row>
    <row r="147" spans="27:27">
      <c r="AA147" s="233"/>
    </row>
    <row r="148" spans="27:27">
      <c r="AA148" s="233"/>
    </row>
    <row r="149" spans="27:27">
      <c r="AA149" s="233"/>
    </row>
    <row r="150" spans="27:27">
      <c r="AA150" s="233"/>
    </row>
    <row r="151" spans="27:27">
      <c r="AA151" s="233"/>
    </row>
    <row r="152" spans="27:27">
      <c r="AA152" s="233"/>
    </row>
    <row r="153" spans="27:27">
      <c r="AA153" s="233"/>
    </row>
    <row r="154" spans="27:27">
      <c r="AA154" s="233"/>
    </row>
    <row r="155" spans="27:27">
      <c r="AA155" s="233"/>
    </row>
    <row r="156" spans="27:27">
      <c r="AA156" s="233"/>
    </row>
    <row r="157" spans="27:27">
      <c r="AA157" s="233"/>
    </row>
    <row r="158" spans="27:27">
      <c r="AA158" s="233"/>
    </row>
    <row r="159" spans="27:27">
      <c r="AA159" s="233"/>
    </row>
    <row r="160" spans="27:27">
      <c r="AA160" s="233"/>
    </row>
    <row r="161" spans="27:27">
      <c r="AA161" s="233"/>
    </row>
  </sheetData>
  <mergeCells count="5">
    <mergeCell ref="B1:H1"/>
    <mergeCell ref="J1:P1"/>
    <mergeCell ref="R1:X1"/>
    <mergeCell ref="A2:A3"/>
    <mergeCell ref="AA54:AC5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2"/>
  <sheetViews>
    <sheetView topLeftCell="A147" zoomScale="103" zoomScaleNormal="103" workbookViewId="0" xr3:uid="{F9CF3CF3-643B-5BE6-8B46-32C596A47465}">
      <selection activeCell="A159" sqref="A159"/>
    </sheetView>
  </sheetViews>
  <sheetFormatPr defaultRowHeight="15"/>
  <cols>
    <col min="1" max="1" width="173.42578125" customWidth="1"/>
  </cols>
  <sheetData>
    <row r="1" spans="1:2">
      <c r="A1" t="s">
        <v>240</v>
      </c>
      <c r="B1" t="s">
        <v>241</v>
      </c>
    </row>
    <row r="2" spans="1:2">
      <c r="A2" t="s">
        <v>242</v>
      </c>
      <c r="B2" t="s">
        <v>241</v>
      </c>
    </row>
    <row r="3" spans="1:2">
      <c r="A3" t="s">
        <v>243</v>
      </c>
      <c r="B3" t="s">
        <v>241</v>
      </c>
    </row>
    <row r="4" spans="1:2">
      <c r="A4" t="s">
        <v>244</v>
      </c>
      <c r="B4" t="s">
        <v>241</v>
      </c>
    </row>
    <row r="5" spans="1:2">
      <c r="A5" t="s">
        <v>245</v>
      </c>
      <c r="B5" t="s">
        <v>241</v>
      </c>
    </row>
    <row r="7" spans="1:2">
      <c r="A7" t="s">
        <v>246</v>
      </c>
      <c r="B7" t="s">
        <v>241</v>
      </c>
    </row>
    <row r="8" spans="1:2">
      <c r="A8" t="s">
        <v>247</v>
      </c>
      <c r="B8" t="s">
        <v>241</v>
      </c>
    </row>
    <row r="9" spans="1:2">
      <c r="A9" t="s">
        <v>248</v>
      </c>
      <c r="B9" t="s">
        <v>241</v>
      </c>
    </row>
    <row r="10" spans="1:2">
      <c r="A10" t="s">
        <v>249</v>
      </c>
      <c r="B10" t="s">
        <v>241</v>
      </c>
    </row>
    <row r="11" spans="1:2">
      <c r="A11" t="s">
        <v>250</v>
      </c>
      <c r="B11" t="s">
        <v>241</v>
      </c>
    </row>
    <row r="12" spans="1:2">
      <c r="A12" t="s">
        <v>251</v>
      </c>
      <c r="B12" t="s">
        <v>241</v>
      </c>
    </row>
    <row r="13" spans="1:2">
      <c r="A13" t="s">
        <v>252</v>
      </c>
      <c r="B13" t="s">
        <v>241</v>
      </c>
    </row>
    <row r="14" spans="1:2">
      <c r="A14" t="s">
        <v>253</v>
      </c>
      <c r="B14" t="s">
        <v>241</v>
      </c>
    </row>
    <row r="15" spans="1:2">
      <c r="A15" t="s">
        <v>254</v>
      </c>
      <c r="B15" t="s">
        <v>241</v>
      </c>
    </row>
    <row r="17" spans="1:2">
      <c r="A17" s="1" t="s">
        <v>255</v>
      </c>
    </row>
    <row r="18" spans="1:2">
      <c r="A18" t="s">
        <v>256</v>
      </c>
      <c r="B18" t="s">
        <v>257</v>
      </c>
    </row>
    <row r="19" spans="1:2">
      <c r="A19" t="s">
        <v>258</v>
      </c>
      <c r="B19" t="s">
        <v>241</v>
      </c>
    </row>
    <row r="20" spans="1:2">
      <c r="A20" t="s">
        <v>259</v>
      </c>
      <c r="B20" t="s">
        <v>260</v>
      </c>
    </row>
    <row r="21" spans="1:2">
      <c r="A21" t="s">
        <v>261</v>
      </c>
      <c r="B21" t="s">
        <v>241</v>
      </c>
    </row>
    <row r="23" spans="1:2">
      <c r="A23" s="1" t="s">
        <v>262</v>
      </c>
    </row>
    <row r="24" spans="1:2">
      <c r="A24" t="s">
        <v>263</v>
      </c>
      <c r="B24" t="s">
        <v>241</v>
      </c>
    </row>
    <row r="25" spans="1:2">
      <c r="A25" t="s">
        <v>264</v>
      </c>
      <c r="B25" t="s">
        <v>241</v>
      </c>
    </row>
    <row r="27" spans="1:2">
      <c r="A27" t="s">
        <v>265</v>
      </c>
      <c r="B27" t="s">
        <v>241</v>
      </c>
    </row>
    <row r="28" spans="1:2">
      <c r="A28" t="s">
        <v>266</v>
      </c>
      <c r="B28" t="s">
        <v>241</v>
      </c>
    </row>
    <row r="29" spans="1:2">
      <c r="A29" t="s">
        <v>267</v>
      </c>
      <c r="B29" t="s">
        <v>241</v>
      </c>
    </row>
    <row r="30" spans="1:2" ht="33" customHeight="1">
      <c r="A30" s="325" t="s">
        <v>268</v>
      </c>
      <c r="B30" t="s">
        <v>241</v>
      </c>
    </row>
    <row r="32" spans="1:2">
      <c r="A32" t="s">
        <v>269</v>
      </c>
      <c r="B32" t="s">
        <v>241</v>
      </c>
    </row>
    <row r="33" spans="1:2">
      <c r="A33" t="s">
        <v>270</v>
      </c>
      <c r="B33" t="s">
        <v>241</v>
      </c>
    </row>
    <row r="34" spans="1:2">
      <c r="A34" t="s">
        <v>271</v>
      </c>
      <c r="B34" t="s">
        <v>241</v>
      </c>
    </row>
    <row r="35" spans="1:2">
      <c r="A35" t="s">
        <v>272</v>
      </c>
      <c r="B35" t="s">
        <v>241</v>
      </c>
    </row>
    <row r="36" spans="1:2">
      <c r="A36" t="s">
        <v>273</v>
      </c>
      <c r="B36" t="s">
        <v>241</v>
      </c>
    </row>
    <row r="37" spans="1:2">
      <c r="A37" t="s">
        <v>274</v>
      </c>
      <c r="B37" t="s">
        <v>241</v>
      </c>
    </row>
    <row r="39" spans="1:2">
      <c r="A39" s="1" t="s">
        <v>275</v>
      </c>
    </row>
    <row r="40" spans="1:2">
      <c r="A40" t="s">
        <v>276</v>
      </c>
      <c r="B40" t="s">
        <v>241</v>
      </c>
    </row>
    <row r="41" spans="1:2">
      <c r="A41" t="s">
        <v>277</v>
      </c>
      <c r="B41" t="s">
        <v>241</v>
      </c>
    </row>
    <row r="43" spans="1:2">
      <c r="A43" s="1" t="s">
        <v>278</v>
      </c>
    </row>
    <row r="44" spans="1:2">
      <c r="A44" t="s">
        <v>279</v>
      </c>
      <c r="B44" t="s">
        <v>241</v>
      </c>
    </row>
    <row r="45" spans="1:2">
      <c r="A45" t="s">
        <v>280</v>
      </c>
      <c r="B45" t="s">
        <v>241</v>
      </c>
    </row>
    <row r="47" spans="1:2">
      <c r="A47" s="1" t="s">
        <v>281</v>
      </c>
    </row>
    <row r="48" spans="1:2">
      <c r="A48" t="s">
        <v>282</v>
      </c>
      <c r="B48" t="s">
        <v>241</v>
      </c>
    </row>
    <row r="50" spans="1:2">
      <c r="A50" s="1" t="s">
        <v>283</v>
      </c>
    </row>
    <row r="51" spans="1:2">
      <c r="A51" t="s">
        <v>284</v>
      </c>
      <c r="B51" t="s">
        <v>241</v>
      </c>
    </row>
    <row r="52" spans="1:2">
      <c r="A52" t="s">
        <v>285</v>
      </c>
      <c r="B52" t="s">
        <v>241</v>
      </c>
    </row>
    <row r="53" spans="1:2">
      <c r="A53" t="s">
        <v>286</v>
      </c>
      <c r="B53" t="s">
        <v>241</v>
      </c>
    </row>
    <row r="55" spans="1:2">
      <c r="A55" s="1" t="s">
        <v>287</v>
      </c>
    </row>
    <row r="56" spans="1:2">
      <c r="A56" t="s">
        <v>288</v>
      </c>
      <c r="B56" t="s">
        <v>241</v>
      </c>
    </row>
    <row r="58" spans="1:2">
      <c r="A58" s="1" t="s">
        <v>289</v>
      </c>
    </row>
    <row r="59" spans="1:2">
      <c r="A59" t="s">
        <v>290</v>
      </c>
      <c r="B59" t="s">
        <v>241</v>
      </c>
    </row>
    <row r="60" spans="1:2">
      <c r="A60" t="s">
        <v>291</v>
      </c>
      <c r="B60" t="s">
        <v>241</v>
      </c>
    </row>
    <row r="61" spans="1:2">
      <c r="A61" t="s">
        <v>292</v>
      </c>
      <c r="B61" t="s">
        <v>241</v>
      </c>
    </row>
    <row r="62" spans="1:2">
      <c r="A62" t="s">
        <v>293</v>
      </c>
      <c r="B62" t="s">
        <v>241</v>
      </c>
    </row>
    <row r="63" spans="1:2">
      <c r="A63" t="s">
        <v>294</v>
      </c>
      <c r="B63" t="s">
        <v>241</v>
      </c>
    </row>
    <row r="64" spans="1:2">
      <c r="A64" t="s">
        <v>295</v>
      </c>
      <c r="B64" t="s">
        <v>241</v>
      </c>
    </row>
    <row r="65" spans="1:3">
      <c r="A65" t="s">
        <v>296</v>
      </c>
      <c r="B65" t="s">
        <v>241</v>
      </c>
    </row>
    <row r="66" spans="1:3">
      <c r="A66" t="s">
        <v>297</v>
      </c>
      <c r="B66" t="s">
        <v>241</v>
      </c>
    </row>
    <row r="68" spans="1:3">
      <c r="A68" s="322" t="s">
        <v>298</v>
      </c>
    </row>
    <row r="69" spans="1:3">
      <c r="A69" t="s">
        <v>299</v>
      </c>
      <c r="B69" t="s">
        <v>300</v>
      </c>
    </row>
    <row r="70" spans="1:3">
      <c r="A70" t="s">
        <v>301</v>
      </c>
      <c r="B70" t="s">
        <v>300</v>
      </c>
    </row>
    <row r="71" spans="1:3">
      <c r="A71" t="s">
        <v>302</v>
      </c>
      <c r="B71" t="s">
        <v>300</v>
      </c>
    </row>
    <row r="73" spans="1:3">
      <c r="A73" s="322" t="s">
        <v>298</v>
      </c>
    </row>
    <row r="74" spans="1:3">
      <c r="A74" s="365" t="s">
        <v>303</v>
      </c>
      <c r="B74" s="363" t="s">
        <v>241</v>
      </c>
      <c r="C74" s="363"/>
    </row>
    <row r="75" spans="1:3">
      <c r="A75" s="363" t="s">
        <v>304</v>
      </c>
      <c r="B75" s="363" t="s">
        <v>241</v>
      </c>
      <c r="C75" s="363"/>
    </row>
    <row r="76" spans="1:3">
      <c r="A76" s="363" t="s">
        <v>305</v>
      </c>
      <c r="B76" s="363"/>
      <c r="C76" s="363"/>
    </row>
    <row r="77" spans="1:3">
      <c r="B77" s="2"/>
    </row>
    <row r="78" spans="1:3">
      <c r="A78" s="322" t="s">
        <v>298</v>
      </c>
    </row>
    <row r="79" spans="1:3">
      <c r="A79" t="s">
        <v>306</v>
      </c>
      <c r="B79" t="s">
        <v>241</v>
      </c>
    </row>
    <row r="80" spans="1:3">
      <c r="A80" t="s">
        <v>307</v>
      </c>
      <c r="B80" t="s">
        <v>241</v>
      </c>
    </row>
    <row r="81" spans="1:2">
      <c r="A81" t="s">
        <v>308</v>
      </c>
      <c r="B81" t="s">
        <v>241</v>
      </c>
    </row>
    <row r="82" spans="1:2">
      <c r="A82" t="s">
        <v>309</v>
      </c>
      <c r="B82" t="s">
        <v>241</v>
      </c>
    </row>
    <row r="84" spans="1:2">
      <c r="A84" s="322" t="s">
        <v>310</v>
      </c>
    </row>
    <row r="85" spans="1:2">
      <c r="A85" t="s">
        <v>311</v>
      </c>
      <c r="B85" t="s">
        <v>241</v>
      </c>
    </row>
    <row r="86" spans="1:2">
      <c r="A86" t="s">
        <v>312</v>
      </c>
      <c r="B86" t="s">
        <v>241</v>
      </c>
    </row>
    <row r="88" spans="1:2">
      <c r="A88" s="322" t="s">
        <v>313</v>
      </c>
    </row>
    <row r="89" spans="1:2">
      <c r="A89" t="s">
        <v>314</v>
      </c>
      <c r="B89" t="s">
        <v>241</v>
      </c>
    </row>
    <row r="90" spans="1:2">
      <c r="A90" t="s">
        <v>315</v>
      </c>
      <c r="B90" t="s">
        <v>241</v>
      </c>
    </row>
    <row r="91" spans="1:2">
      <c r="A91" t="s">
        <v>316</v>
      </c>
      <c r="B91" t="s">
        <v>241</v>
      </c>
    </row>
    <row r="92" spans="1:2">
      <c r="A92" t="s">
        <v>317</v>
      </c>
      <c r="B92" t="s">
        <v>241</v>
      </c>
    </row>
    <row r="93" spans="1:2" ht="29.25" customHeight="1">
      <c r="A93" s="325" t="s">
        <v>318</v>
      </c>
      <c r="B93" t="s">
        <v>241</v>
      </c>
    </row>
    <row r="94" spans="1:2">
      <c r="A94" t="s">
        <v>319</v>
      </c>
      <c r="B94" t="s">
        <v>241</v>
      </c>
    </row>
    <row r="95" spans="1:2">
      <c r="A95" t="s">
        <v>320</v>
      </c>
      <c r="B95" t="s">
        <v>241</v>
      </c>
    </row>
    <row r="96" spans="1:2">
      <c r="A96" t="s">
        <v>321</v>
      </c>
      <c r="B96" t="s">
        <v>241</v>
      </c>
    </row>
    <row r="97" spans="1:2">
      <c r="A97" t="s">
        <v>322</v>
      </c>
      <c r="B97" t="s">
        <v>241</v>
      </c>
    </row>
    <row r="98" spans="1:2">
      <c r="A98" t="s">
        <v>323</v>
      </c>
      <c r="B98" t="s">
        <v>241</v>
      </c>
    </row>
    <row r="100" spans="1:2">
      <c r="A100" s="322" t="s">
        <v>298</v>
      </c>
    </row>
    <row r="101" spans="1:2">
      <c r="A101" t="s">
        <v>324</v>
      </c>
      <c r="B101" t="s">
        <v>241</v>
      </c>
    </row>
    <row r="102" spans="1:2">
      <c r="A102" t="s">
        <v>325</v>
      </c>
      <c r="B102" t="s">
        <v>241</v>
      </c>
    </row>
    <row r="103" spans="1:2">
      <c r="A103" t="s">
        <v>326</v>
      </c>
      <c r="B103" t="s">
        <v>241</v>
      </c>
    </row>
    <row r="105" spans="1:2">
      <c r="A105" s="322" t="s">
        <v>327</v>
      </c>
    </row>
    <row r="106" spans="1:2">
      <c r="A106" t="s">
        <v>328</v>
      </c>
      <c r="B106" t="s">
        <v>241</v>
      </c>
    </row>
    <row r="107" spans="1:2">
      <c r="A107" t="s">
        <v>329</v>
      </c>
      <c r="B107" t="s">
        <v>241</v>
      </c>
    </row>
    <row r="109" spans="1:2">
      <c r="A109" t="s">
        <v>330</v>
      </c>
      <c r="B109" t="s">
        <v>241</v>
      </c>
    </row>
    <row r="110" spans="1:2">
      <c r="A110" s="446" t="s">
        <v>331</v>
      </c>
      <c r="B110" t="s">
        <v>241</v>
      </c>
    </row>
    <row r="111" spans="1:2">
      <c r="A111" t="s">
        <v>332</v>
      </c>
      <c r="B111" t="s">
        <v>241</v>
      </c>
    </row>
    <row r="112" spans="1:2">
      <c r="A112" s="2" t="s">
        <v>333</v>
      </c>
      <c r="B112" t="s">
        <v>241</v>
      </c>
    </row>
    <row r="113" spans="1:2">
      <c r="A113" s="2"/>
    </row>
    <row r="114" spans="1:2">
      <c r="A114" s="322" t="s">
        <v>334</v>
      </c>
    </row>
    <row r="115" spans="1:2">
      <c r="A115" t="s">
        <v>335</v>
      </c>
      <c r="B115" t="s">
        <v>241</v>
      </c>
    </row>
    <row r="116" spans="1:2">
      <c r="A116" t="s">
        <v>336</v>
      </c>
      <c r="B116" t="s">
        <v>241</v>
      </c>
    </row>
    <row r="118" spans="1:2">
      <c r="A118" s="1" t="s">
        <v>337</v>
      </c>
    </row>
    <row r="119" spans="1:2">
      <c r="A119" t="s">
        <v>338</v>
      </c>
      <c r="B119" t="s">
        <v>241</v>
      </c>
    </row>
    <row r="121" spans="1:2">
      <c r="A121" s="322" t="s">
        <v>298</v>
      </c>
    </row>
    <row r="122" spans="1:2">
      <c r="A122" t="s">
        <v>339</v>
      </c>
      <c r="B122" t="s">
        <v>241</v>
      </c>
    </row>
    <row r="123" spans="1:2">
      <c r="A123" t="s">
        <v>340</v>
      </c>
    </row>
    <row r="125" spans="1:2">
      <c r="A125" s="322" t="s">
        <v>341</v>
      </c>
    </row>
    <row r="126" spans="1:2">
      <c r="A126" t="s">
        <v>342</v>
      </c>
      <c r="B126" t="s">
        <v>241</v>
      </c>
    </row>
    <row r="127" spans="1:2">
      <c r="A127" t="s">
        <v>343</v>
      </c>
      <c r="B127" t="s">
        <v>241</v>
      </c>
    </row>
    <row r="128" spans="1:2">
      <c r="A128" t="s">
        <v>344</v>
      </c>
      <c r="B128" t="s">
        <v>241</v>
      </c>
    </row>
    <row r="130" spans="1:2">
      <c r="A130" s="355"/>
      <c r="B130" s="355"/>
    </row>
    <row r="131" spans="1:2">
      <c r="A131" s="2"/>
      <c r="B131" s="2"/>
    </row>
    <row r="132" spans="1:2">
      <c r="A132" s="322" t="s">
        <v>345</v>
      </c>
    </row>
    <row r="133" spans="1:2">
      <c r="A133" t="s">
        <v>338</v>
      </c>
    </row>
    <row r="134" spans="1:2">
      <c r="A134" s="2" t="s">
        <v>346</v>
      </c>
    </row>
    <row r="135" spans="1:2">
      <c r="A135" s="2" t="s">
        <v>347</v>
      </c>
    </row>
    <row r="136" spans="1:2">
      <c r="A136" s="2" t="s">
        <v>348</v>
      </c>
    </row>
    <row r="137" spans="1:2">
      <c r="A137" s="2" t="s">
        <v>349</v>
      </c>
    </row>
    <row r="138" spans="1:2">
      <c r="A138" s="2" t="s">
        <v>350</v>
      </c>
    </row>
    <row r="139" spans="1:2">
      <c r="A139" t="s">
        <v>351</v>
      </c>
    </row>
    <row r="140" spans="1:2">
      <c r="A140" t="s">
        <v>352</v>
      </c>
    </row>
    <row r="141" spans="1:2">
      <c r="A141" t="s">
        <v>353</v>
      </c>
    </row>
    <row r="142" spans="1:2">
      <c r="A142" t="s">
        <v>354</v>
      </c>
    </row>
    <row r="143" spans="1:2">
      <c r="A143" t="s">
        <v>355</v>
      </c>
    </row>
    <row r="146" spans="1:2">
      <c r="A146" s="322" t="s">
        <v>356</v>
      </c>
    </row>
    <row r="147" spans="1:2">
      <c r="A147" t="s">
        <v>357</v>
      </c>
    </row>
    <row r="148" spans="1:2">
      <c r="A148" t="s">
        <v>358</v>
      </c>
    </row>
    <row r="149" spans="1:2">
      <c r="A149" t="s">
        <v>359</v>
      </c>
    </row>
    <row r="150" spans="1:2">
      <c r="A150" t="s">
        <v>360</v>
      </c>
      <c r="B150" t="s">
        <v>241</v>
      </c>
    </row>
    <row r="151" spans="1:2">
      <c r="A151" t="s">
        <v>361</v>
      </c>
      <c r="B151" t="s">
        <v>241</v>
      </c>
    </row>
    <row r="152" spans="1:2">
      <c r="A152" t="s">
        <v>362</v>
      </c>
    </row>
    <row r="153" spans="1:2">
      <c r="A153" t="s">
        <v>363</v>
      </c>
    </row>
    <row r="154" spans="1:2">
      <c r="A154" t="s">
        <v>364</v>
      </c>
    </row>
    <row r="155" spans="1:2">
      <c r="A155" t="s">
        <v>365</v>
      </c>
    </row>
    <row r="156" spans="1:2">
      <c r="A156" t="s">
        <v>366</v>
      </c>
    </row>
    <row r="158" spans="1:2">
      <c r="A158" s="322" t="s">
        <v>367</v>
      </c>
    </row>
    <row r="159" spans="1:2">
      <c r="A159" t="s">
        <v>368</v>
      </c>
    </row>
    <row r="160" spans="1:2">
      <c r="A160" t="s">
        <v>369</v>
      </c>
      <c r="B160" t="s">
        <v>241</v>
      </c>
    </row>
    <row r="161" spans="1:2">
      <c r="A161" t="s">
        <v>370</v>
      </c>
      <c r="B161" t="s">
        <v>241</v>
      </c>
    </row>
    <row r="162" spans="1:2">
      <c r="A162" t="s">
        <v>371</v>
      </c>
      <c r="B162" t="s">
        <v>241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76"/>
  <sheetViews>
    <sheetView topLeftCell="B1" workbookViewId="0" xr3:uid="{78B4E459-6924-5F8B-B7BA-2DD04133E49E}">
      <selection activeCell="T40" sqref="T40"/>
    </sheetView>
  </sheetViews>
  <sheetFormatPr defaultRowHeight="12.75"/>
  <cols>
    <col min="1" max="1" width="9.28515625" style="249" customWidth="1"/>
    <col min="2" max="2" width="8.28515625" style="249" customWidth="1"/>
    <col min="3" max="3" width="19.28515625" style="249" customWidth="1"/>
    <col min="4" max="4" width="15.85546875" style="249" customWidth="1"/>
    <col min="5" max="5" width="9.28515625" style="249" customWidth="1"/>
    <col min="6" max="6" width="7.42578125" style="249" customWidth="1"/>
    <col min="7" max="10" width="9.28515625" style="249" bestFit="1" customWidth="1"/>
    <col min="11" max="11" width="10.140625" style="249" bestFit="1" customWidth="1"/>
    <col min="12" max="12" width="9.85546875" style="249" bestFit="1" customWidth="1"/>
    <col min="13" max="13" width="12.140625" style="249" customWidth="1"/>
    <col min="14" max="14" width="11.7109375" style="249" customWidth="1"/>
    <col min="15" max="15" width="11.85546875" style="249" customWidth="1"/>
    <col min="16" max="16" width="10.5703125" style="249" customWidth="1"/>
    <col min="17" max="17" width="2.7109375" style="249" customWidth="1"/>
    <col min="18" max="19" width="0" style="249" hidden="1" customWidth="1"/>
    <col min="20" max="20" width="9.5703125" style="249" bestFit="1" customWidth="1"/>
    <col min="21" max="23" width="9.140625" style="249"/>
    <col min="24" max="24" width="12.5703125" style="249" customWidth="1"/>
    <col min="25" max="31" width="9.140625" style="249"/>
    <col min="32" max="32" width="11" style="249" customWidth="1"/>
    <col min="33" max="33" width="9.140625" style="249" customWidth="1"/>
    <col min="34" max="39" width="9.140625" style="249" hidden="1" customWidth="1"/>
    <col min="40" max="40" width="9.140625" style="249"/>
    <col min="41" max="41" width="22" style="249" customWidth="1"/>
    <col min="42" max="16384" width="9.140625" style="249"/>
  </cols>
  <sheetData>
    <row r="1" spans="1:41">
      <c r="A1" s="493" t="s">
        <v>372</v>
      </c>
      <c r="B1" s="252"/>
      <c r="C1" s="252"/>
    </row>
    <row r="2" spans="1:41" ht="38.25">
      <c r="A2" s="399" t="s">
        <v>135</v>
      </c>
      <c r="B2" s="400" t="s">
        <v>373</v>
      </c>
      <c r="C2" s="400"/>
      <c r="D2" s="400" t="s">
        <v>374</v>
      </c>
      <c r="E2" s="399" t="s">
        <v>375</v>
      </c>
      <c r="F2" s="399" t="s">
        <v>376</v>
      </c>
      <c r="G2" s="514" t="s">
        <v>377</v>
      </c>
      <c r="H2" s="514"/>
      <c r="I2" s="514"/>
      <c r="J2" s="514"/>
      <c r="K2" s="497" t="s">
        <v>378</v>
      </c>
      <c r="L2" s="401" t="s">
        <v>379</v>
      </c>
      <c r="M2" s="402" t="s">
        <v>29</v>
      </c>
      <c r="N2" s="403" t="s">
        <v>10</v>
      </c>
      <c r="O2" s="404" t="s">
        <v>380</v>
      </c>
      <c r="P2" s="405" t="s">
        <v>381</v>
      </c>
      <c r="R2" s="498">
        <v>2016</v>
      </c>
      <c r="S2" s="515">
        <v>2017</v>
      </c>
      <c r="T2" s="515"/>
      <c r="U2" s="515"/>
      <c r="V2" s="515"/>
      <c r="W2" s="515"/>
      <c r="X2" s="515"/>
      <c r="Y2" s="515"/>
      <c r="Z2" s="515"/>
      <c r="AA2" s="515"/>
      <c r="AB2" s="515"/>
      <c r="AC2" s="515"/>
      <c r="AD2" s="515"/>
      <c r="AE2" s="515">
        <v>2018</v>
      </c>
      <c r="AF2" s="515"/>
      <c r="AG2" s="515"/>
      <c r="AH2" s="515"/>
      <c r="AI2" s="515"/>
      <c r="AJ2" s="515"/>
      <c r="AK2" s="515"/>
      <c r="AL2" s="515"/>
      <c r="AM2" s="515"/>
      <c r="AN2" s="498" t="s">
        <v>378</v>
      </c>
      <c r="AO2" s="405"/>
    </row>
    <row r="3" spans="1:41">
      <c r="G3" s="406">
        <v>42767</v>
      </c>
      <c r="H3" s="406">
        <v>42856</v>
      </c>
      <c r="I3" s="406">
        <v>43009</v>
      </c>
      <c r="J3" s="406">
        <v>43132</v>
      </c>
      <c r="K3" s="285"/>
      <c r="L3" s="289"/>
      <c r="M3" s="276"/>
      <c r="N3" s="267"/>
      <c r="O3" s="252"/>
      <c r="R3" s="407">
        <v>42705</v>
      </c>
      <c r="S3" s="408" t="s">
        <v>382</v>
      </c>
      <c r="T3" s="408" t="s">
        <v>383</v>
      </c>
      <c r="U3" s="407">
        <v>42795</v>
      </c>
      <c r="V3" s="408" t="s">
        <v>384</v>
      </c>
      <c r="W3" s="408" t="s">
        <v>385</v>
      </c>
      <c r="X3" s="407">
        <v>42887</v>
      </c>
      <c r="Y3" s="408" t="s">
        <v>386</v>
      </c>
      <c r="Z3" s="408" t="s">
        <v>387</v>
      </c>
      <c r="AA3" s="407">
        <v>42979</v>
      </c>
      <c r="AB3" s="408" t="s">
        <v>388</v>
      </c>
      <c r="AC3" s="408" t="s">
        <v>389</v>
      </c>
      <c r="AD3" s="407">
        <v>43070</v>
      </c>
      <c r="AE3" s="408" t="s">
        <v>390</v>
      </c>
      <c r="AF3" s="408" t="s">
        <v>391</v>
      </c>
      <c r="AG3" s="407">
        <v>43160</v>
      </c>
      <c r="AH3" s="408" t="s">
        <v>392</v>
      </c>
      <c r="AI3" s="408" t="s">
        <v>393</v>
      </c>
      <c r="AJ3" s="407">
        <v>43252</v>
      </c>
      <c r="AK3" s="408" t="s">
        <v>394</v>
      </c>
      <c r="AL3" s="408" t="s">
        <v>395</v>
      </c>
      <c r="AM3" s="407">
        <v>43344</v>
      </c>
    </row>
    <row r="4" spans="1:41">
      <c r="A4" s="409">
        <v>1200</v>
      </c>
      <c r="B4" s="249" t="s">
        <v>56</v>
      </c>
      <c r="C4" s="410" t="s">
        <v>396</v>
      </c>
      <c r="D4" s="249" t="s">
        <v>397</v>
      </c>
      <c r="E4" s="409">
        <v>129</v>
      </c>
      <c r="F4" s="409"/>
      <c r="G4" s="411"/>
      <c r="H4" s="411"/>
      <c r="I4" s="411"/>
      <c r="J4" s="411"/>
      <c r="K4" s="411">
        <f>G4+H4+I4+J4</f>
        <v>0</v>
      </c>
      <c r="L4" s="412">
        <v>1200</v>
      </c>
      <c r="M4" s="413"/>
      <c r="N4" s="414"/>
      <c r="O4" s="415"/>
      <c r="P4" s="409">
        <f>G4+H4+I4+J4+L4+M4+N4+O4-E4</f>
        <v>1071</v>
      </c>
      <c r="Q4" s="409"/>
      <c r="R4" s="416"/>
      <c r="S4" s="417">
        <f>150-150</f>
        <v>0</v>
      </c>
      <c r="T4" s="417">
        <f>171+150</f>
        <v>321</v>
      </c>
      <c r="U4" s="417">
        <v>150</v>
      </c>
      <c r="V4" s="417">
        <v>150</v>
      </c>
      <c r="W4" s="417"/>
      <c r="X4" s="417">
        <v>150</v>
      </c>
      <c r="Y4" s="417"/>
      <c r="Z4" s="417">
        <v>150</v>
      </c>
      <c r="AA4" s="417"/>
      <c r="AB4" s="417"/>
      <c r="AC4" s="417">
        <v>150</v>
      </c>
      <c r="AD4" s="417"/>
      <c r="AE4" s="417"/>
      <c r="AF4" s="417"/>
      <c r="AG4" s="418"/>
      <c r="AH4" s="419"/>
      <c r="AI4" s="419"/>
      <c r="AJ4" s="419"/>
      <c r="AK4" s="419"/>
      <c r="AL4" s="419"/>
      <c r="AM4" s="419"/>
      <c r="AN4" s="420">
        <f>AM4+AL4+AK4+AJ4+AI4+AH4+AG4+AF4+AE4+AD4+AC4+AB4+AA4+Z4+Y4+X4+W4+V4+U4+T4+S4+R4</f>
        <v>1071</v>
      </c>
      <c r="AO4" s="421" t="s">
        <v>398</v>
      </c>
    </row>
    <row r="5" spans="1:41">
      <c r="A5" s="409">
        <v>1500</v>
      </c>
      <c r="B5" s="249" t="s">
        <v>48</v>
      </c>
      <c r="C5" s="422" t="s">
        <v>399</v>
      </c>
      <c r="D5" s="249" t="s">
        <v>400</v>
      </c>
      <c r="E5" s="409"/>
      <c r="F5" s="409"/>
      <c r="G5" s="411"/>
      <c r="H5" s="411"/>
      <c r="I5" s="411"/>
      <c r="J5" s="411"/>
      <c r="K5" s="411">
        <f t="shared" ref="K5:K37" si="0">G5+H5+I5+J5</f>
        <v>0</v>
      </c>
      <c r="L5" s="412">
        <v>1500</v>
      </c>
      <c r="M5" s="413"/>
      <c r="N5" s="414"/>
      <c r="O5" s="415"/>
      <c r="P5" s="409">
        <f t="shared" ref="P5:P37" si="1">G5+H5+I5+J5+L5+M5+N5+O5-E5</f>
        <v>1500</v>
      </c>
      <c r="Q5" s="409"/>
      <c r="R5" s="423"/>
      <c r="S5" s="424"/>
      <c r="T5" s="424">
        <v>300</v>
      </c>
      <c r="U5" s="424"/>
      <c r="V5" s="424"/>
      <c r="W5" s="424">
        <v>300</v>
      </c>
      <c r="X5" s="424"/>
      <c r="Y5" s="424">
        <v>300</v>
      </c>
      <c r="Z5" s="424"/>
      <c r="AA5" s="424">
        <v>300</v>
      </c>
      <c r="AB5" s="424"/>
      <c r="AC5" s="424"/>
      <c r="AD5" s="424"/>
      <c r="AE5" s="424"/>
      <c r="AF5" s="424">
        <v>300</v>
      </c>
      <c r="AG5" s="425"/>
      <c r="AH5" s="426"/>
      <c r="AI5" s="426"/>
      <c r="AJ5" s="426"/>
      <c r="AK5" s="426"/>
      <c r="AL5" s="426"/>
      <c r="AM5" s="426"/>
      <c r="AN5" s="420">
        <f t="shared" ref="AN5:AN37" si="2">AM5+AL5+AK5+AJ5+AI5+AH5+AG5+AF5+AE5+AD5+AC5+AB5+AA5+Z5+Y5+X5+W5+V5+U5+T5+S5+R5</f>
        <v>1500</v>
      </c>
      <c r="AO5" s="421" t="s">
        <v>398</v>
      </c>
    </row>
    <row r="6" spans="1:41">
      <c r="A6" s="409">
        <v>8400</v>
      </c>
      <c r="B6" s="249" t="s">
        <v>48</v>
      </c>
      <c r="C6" s="422" t="s">
        <v>401</v>
      </c>
      <c r="D6" s="249" t="s">
        <v>402</v>
      </c>
      <c r="E6" s="409"/>
      <c r="F6" s="409"/>
      <c r="G6" s="411"/>
      <c r="H6" s="411"/>
      <c r="I6" s="411"/>
      <c r="J6" s="411"/>
      <c r="K6" s="411">
        <f t="shared" si="0"/>
        <v>0</v>
      </c>
      <c r="L6" s="412">
        <v>8400</v>
      </c>
      <c r="M6" s="413"/>
      <c r="N6" s="414"/>
      <c r="O6" s="415"/>
      <c r="P6" s="409">
        <f t="shared" si="1"/>
        <v>8400</v>
      </c>
      <c r="Q6" s="409"/>
      <c r="R6" s="416"/>
      <c r="S6" s="417">
        <f>4250-4250</f>
        <v>0</v>
      </c>
      <c r="T6" s="417">
        <v>2250</v>
      </c>
      <c r="U6" s="417">
        <v>4125</v>
      </c>
      <c r="V6" s="417"/>
      <c r="W6" s="417">
        <v>2025</v>
      </c>
      <c r="X6" s="417"/>
      <c r="Y6" s="417"/>
      <c r="Z6" s="417"/>
      <c r="AA6" s="417"/>
      <c r="AB6" s="417"/>
      <c r="AC6" s="417"/>
      <c r="AD6" s="417"/>
      <c r="AE6" s="417"/>
      <c r="AF6" s="417"/>
      <c r="AG6" s="418"/>
      <c r="AH6" s="419"/>
      <c r="AI6" s="419"/>
      <c r="AJ6" s="419"/>
      <c r="AK6" s="419"/>
      <c r="AL6" s="419"/>
      <c r="AM6" s="419"/>
      <c r="AN6" s="420">
        <f t="shared" si="2"/>
        <v>8400</v>
      </c>
      <c r="AO6" s="421" t="s">
        <v>398</v>
      </c>
    </row>
    <row r="7" spans="1:41">
      <c r="A7" s="409">
        <v>8640</v>
      </c>
      <c r="B7" s="249" t="s">
        <v>48</v>
      </c>
      <c r="C7" s="427" t="s">
        <v>76</v>
      </c>
      <c r="D7" s="249" t="s">
        <v>403</v>
      </c>
      <c r="E7" s="409"/>
      <c r="F7" s="409"/>
      <c r="G7" s="411">
        <v>1440</v>
      </c>
      <c r="H7" s="411">
        <v>1800</v>
      </c>
      <c r="I7" s="411">
        <v>2700</v>
      </c>
      <c r="J7" s="411">
        <v>2700</v>
      </c>
      <c r="K7" s="411">
        <f t="shared" si="0"/>
        <v>8640</v>
      </c>
      <c r="L7" s="412"/>
      <c r="M7" s="413"/>
      <c r="N7" s="414"/>
      <c r="O7" s="415"/>
      <c r="P7" s="409">
        <f t="shared" si="1"/>
        <v>8640</v>
      </c>
      <c r="Q7" s="409"/>
      <c r="R7" s="423"/>
      <c r="S7" s="424"/>
      <c r="T7" s="424">
        <v>1404</v>
      </c>
      <c r="U7" s="424">
        <f>1440-1404</f>
        <v>36</v>
      </c>
      <c r="V7" s="424"/>
      <c r="W7" s="424"/>
      <c r="X7" s="424">
        <v>1800</v>
      </c>
      <c r="Y7" s="424"/>
      <c r="Z7" s="424"/>
      <c r="AA7" s="424"/>
      <c r="AB7" s="424">
        <v>2700</v>
      </c>
      <c r="AC7" s="424"/>
      <c r="AD7" s="424"/>
      <c r="AE7" s="424"/>
      <c r="AF7" s="424">
        <v>2700</v>
      </c>
      <c r="AG7" s="425"/>
      <c r="AH7" s="426"/>
      <c r="AI7" s="426"/>
      <c r="AJ7" s="426"/>
      <c r="AK7" s="426"/>
      <c r="AL7" s="426"/>
      <c r="AM7" s="426"/>
      <c r="AN7" s="420">
        <f t="shared" si="2"/>
        <v>8640</v>
      </c>
      <c r="AO7" s="421" t="s">
        <v>398</v>
      </c>
    </row>
    <row r="8" spans="1:41">
      <c r="A8" s="409">
        <v>22050</v>
      </c>
      <c r="B8" s="249" t="s">
        <v>38</v>
      </c>
      <c r="C8" s="428" t="s">
        <v>404</v>
      </c>
      <c r="D8" s="249" t="s">
        <v>405</v>
      </c>
      <c r="E8" s="409">
        <v>4500</v>
      </c>
      <c r="F8" s="409"/>
      <c r="G8" s="411"/>
      <c r="H8" s="411"/>
      <c r="I8" s="411"/>
      <c r="J8" s="411"/>
      <c r="K8" s="411">
        <f t="shared" si="0"/>
        <v>0</v>
      </c>
      <c r="L8" s="412"/>
      <c r="M8" s="413"/>
      <c r="N8" s="414">
        <v>22050</v>
      </c>
      <c r="O8" s="415"/>
      <c r="P8" s="409">
        <f t="shared" si="1"/>
        <v>17550</v>
      </c>
      <c r="Q8" s="409"/>
      <c r="R8" s="423"/>
      <c r="S8" s="424"/>
      <c r="T8" s="424">
        <v>5550</v>
      </c>
      <c r="U8" s="424">
        <v>12000</v>
      </c>
      <c r="V8" s="424"/>
      <c r="W8" s="424"/>
      <c r="X8" s="424"/>
      <c r="Y8" s="424"/>
      <c r="Z8" s="424"/>
      <c r="AA8" s="424"/>
      <c r="AB8" s="424"/>
      <c r="AC8" s="424"/>
      <c r="AD8" s="424"/>
      <c r="AE8" s="424"/>
      <c r="AF8" s="424"/>
      <c r="AG8" s="425"/>
      <c r="AH8" s="426"/>
      <c r="AI8" s="426"/>
      <c r="AJ8" s="426"/>
      <c r="AK8" s="426"/>
      <c r="AL8" s="426"/>
      <c r="AM8" s="426"/>
      <c r="AN8" s="420">
        <f t="shared" si="2"/>
        <v>17550</v>
      </c>
      <c r="AO8" s="421" t="s">
        <v>398</v>
      </c>
    </row>
    <row r="9" spans="1:41">
      <c r="A9" s="409">
        <v>40800</v>
      </c>
      <c r="B9" s="249" t="s">
        <v>38</v>
      </c>
      <c r="C9" s="428" t="s">
        <v>406</v>
      </c>
      <c r="D9" s="249" t="s">
        <v>405</v>
      </c>
      <c r="E9" s="409"/>
      <c r="F9" s="409"/>
      <c r="G9" s="411"/>
      <c r="H9" s="411"/>
      <c r="I9" s="411"/>
      <c r="J9" s="411"/>
      <c r="K9" s="411">
        <f t="shared" si="0"/>
        <v>0</v>
      </c>
      <c r="L9" s="412"/>
      <c r="M9" s="413"/>
      <c r="N9" s="414">
        <v>40800</v>
      </c>
      <c r="O9" s="415"/>
      <c r="P9" s="409">
        <f t="shared" si="1"/>
        <v>40800</v>
      </c>
      <c r="Q9" s="409"/>
      <c r="R9" s="423"/>
      <c r="S9" s="424"/>
      <c r="T9" s="424"/>
      <c r="U9" s="424"/>
      <c r="V9" s="424"/>
      <c r="W9" s="424">
        <v>5000</v>
      </c>
      <c r="X9" s="424">
        <v>30800</v>
      </c>
      <c r="Y9" s="424">
        <v>5000</v>
      </c>
      <c r="Z9" s="424"/>
      <c r="AA9" s="424"/>
      <c r="AB9" s="424"/>
      <c r="AC9" s="424"/>
      <c r="AD9" s="424"/>
      <c r="AE9" s="424"/>
      <c r="AF9" s="424"/>
      <c r="AG9" s="425"/>
      <c r="AH9" s="426"/>
      <c r="AI9" s="426"/>
      <c r="AJ9" s="426"/>
      <c r="AK9" s="426"/>
      <c r="AL9" s="426"/>
      <c r="AM9" s="426"/>
      <c r="AN9" s="420">
        <f t="shared" si="2"/>
        <v>40800</v>
      </c>
      <c r="AO9" s="421" t="s">
        <v>398</v>
      </c>
    </row>
    <row r="10" spans="1:41">
      <c r="A10" s="409">
        <v>48960</v>
      </c>
      <c r="B10" s="249" t="s">
        <v>38</v>
      </c>
      <c r="C10" s="428" t="s">
        <v>407</v>
      </c>
      <c r="D10" s="249" t="s">
        <v>405</v>
      </c>
      <c r="E10" s="409"/>
      <c r="F10" s="409"/>
      <c r="G10" s="411"/>
      <c r="H10" s="411"/>
      <c r="I10" s="411"/>
      <c r="J10" s="411"/>
      <c r="K10" s="411">
        <f t="shared" si="0"/>
        <v>0</v>
      </c>
      <c r="L10" s="412"/>
      <c r="M10" s="413"/>
      <c r="N10" s="414">
        <v>48960</v>
      </c>
      <c r="O10" s="415"/>
      <c r="P10" s="409">
        <f t="shared" si="1"/>
        <v>48960</v>
      </c>
      <c r="Q10" s="409"/>
      <c r="R10" s="423"/>
      <c r="S10" s="424"/>
      <c r="T10" s="424"/>
      <c r="U10" s="424"/>
      <c r="V10" s="424"/>
      <c r="W10" s="424"/>
      <c r="X10" s="424"/>
      <c r="Y10" s="424"/>
      <c r="Z10" s="424"/>
      <c r="AA10" s="424">
        <v>4500</v>
      </c>
      <c r="AB10" s="424">
        <v>35000</v>
      </c>
      <c r="AC10" s="424">
        <v>9460</v>
      </c>
      <c r="AD10" s="424"/>
      <c r="AE10" s="424"/>
      <c r="AF10" s="424"/>
      <c r="AG10" s="425"/>
      <c r="AH10" s="426"/>
      <c r="AI10" s="426"/>
      <c r="AJ10" s="426"/>
      <c r="AK10" s="426"/>
      <c r="AL10" s="426"/>
      <c r="AM10" s="426"/>
      <c r="AN10" s="420">
        <f t="shared" si="2"/>
        <v>48960</v>
      </c>
      <c r="AO10" s="421" t="s">
        <v>398</v>
      </c>
    </row>
    <row r="11" spans="1:41">
      <c r="A11" s="409">
        <v>48960</v>
      </c>
      <c r="B11" s="249" t="s">
        <v>38</v>
      </c>
      <c r="C11" s="428" t="s">
        <v>408</v>
      </c>
      <c r="D11" s="249" t="s">
        <v>405</v>
      </c>
      <c r="E11" s="409"/>
      <c r="F11" s="409"/>
      <c r="G11" s="411"/>
      <c r="H11" s="411"/>
      <c r="I11" s="411"/>
      <c r="J11" s="411"/>
      <c r="K11" s="411">
        <f t="shared" si="0"/>
        <v>0</v>
      </c>
      <c r="L11" s="412"/>
      <c r="M11" s="413"/>
      <c r="N11" s="414">
        <v>48960</v>
      </c>
      <c r="O11" s="415"/>
      <c r="P11" s="409">
        <f t="shared" si="1"/>
        <v>48960</v>
      </c>
      <c r="Q11" s="409"/>
      <c r="R11" s="423"/>
      <c r="S11" s="424"/>
      <c r="T11" s="424"/>
      <c r="U11" s="424"/>
      <c r="V11" s="424"/>
      <c r="W11" s="424"/>
      <c r="X11" s="424"/>
      <c r="Y11" s="424"/>
      <c r="Z11" s="424"/>
      <c r="AA11" s="424"/>
      <c r="AB11" s="424"/>
      <c r="AC11" s="424"/>
      <c r="AD11" s="424"/>
      <c r="AE11" s="424">
        <v>15000</v>
      </c>
      <c r="AF11" s="424">
        <v>27000</v>
      </c>
      <c r="AG11" s="425">
        <v>6960</v>
      </c>
      <c r="AH11" s="426"/>
      <c r="AI11" s="426"/>
      <c r="AJ11" s="426"/>
      <c r="AK11" s="426"/>
      <c r="AL11" s="426"/>
      <c r="AM11" s="426"/>
      <c r="AN11" s="420">
        <f t="shared" si="2"/>
        <v>48960</v>
      </c>
      <c r="AO11" s="421" t="s">
        <v>398</v>
      </c>
    </row>
    <row r="12" spans="1:41">
      <c r="A12" s="409">
        <v>4823.0999999999995</v>
      </c>
      <c r="B12" s="249" t="s">
        <v>409</v>
      </c>
      <c r="C12" s="428" t="s">
        <v>410</v>
      </c>
      <c r="D12" s="249" t="s">
        <v>405</v>
      </c>
      <c r="E12" s="409"/>
      <c r="F12" s="409"/>
      <c r="G12" s="411"/>
      <c r="H12" s="411"/>
      <c r="I12" s="411"/>
      <c r="J12" s="411"/>
      <c r="K12" s="411">
        <f t="shared" si="0"/>
        <v>0</v>
      </c>
      <c r="L12" s="412"/>
      <c r="M12" s="413"/>
      <c r="N12" s="414"/>
      <c r="O12" s="415">
        <v>4823</v>
      </c>
      <c r="P12" s="409">
        <f t="shared" si="1"/>
        <v>4823</v>
      </c>
      <c r="Q12" s="409"/>
      <c r="R12" s="423"/>
      <c r="S12" s="424"/>
      <c r="T12" s="424">
        <v>662</v>
      </c>
      <c r="U12" s="424"/>
      <c r="V12" s="424"/>
      <c r="W12" s="424"/>
      <c r="X12" s="424">
        <v>1224</v>
      </c>
      <c r="Y12" s="424"/>
      <c r="Z12" s="424"/>
      <c r="AA12" s="424"/>
      <c r="AB12" s="424">
        <v>1468</v>
      </c>
      <c r="AC12" s="424"/>
      <c r="AD12" s="424"/>
      <c r="AE12" s="424"/>
      <c r="AF12" s="424">
        <v>1469</v>
      </c>
      <c r="AG12" s="425"/>
      <c r="AH12" s="426"/>
      <c r="AI12" s="426"/>
      <c r="AJ12" s="426"/>
      <c r="AK12" s="426"/>
      <c r="AL12" s="426"/>
      <c r="AM12" s="426"/>
      <c r="AN12" s="420">
        <f t="shared" si="2"/>
        <v>4823</v>
      </c>
      <c r="AO12" s="421" t="s">
        <v>398</v>
      </c>
    </row>
    <row r="13" spans="1:41">
      <c r="A13" s="409">
        <v>11340</v>
      </c>
      <c r="B13" s="249" t="s">
        <v>110</v>
      </c>
      <c r="C13" s="422" t="s">
        <v>411</v>
      </c>
      <c r="D13" s="249" t="s">
        <v>412</v>
      </c>
      <c r="E13" s="409"/>
      <c r="F13" s="409"/>
      <c r="G13" s="411">
        <v>2160</v>
      </c>
      <c r="H13" s="411">
        <v>2700</v>
      </c>
      <c r="I13" s="411">
        <v>3240</v>
      </c>
      <c r="J13" s="411">
        <v>3240</v>
      </c>
      <c r="K13" s="411">
        <f t="shared" si="0"/>
        <v>11340</v>
      </c>
      <c r="L13" s="412"/>
      <c r="M13" s="413"/>
      <c r="N13" s="414"/>
      <c r="O13" s="415"/>
      <c r="P13" s="409">
        <f t="shared" si="1"/>
        <v>11340</v>
      </c>
      <c r="Q13" s="409"/>
      <c r="R13" s="423"/>
      <c r="S13" s="424"/>
      <c r="T13" s="429">
        <v>2160</v>
      </c>
      <c r="U13" s="429"/>
      <c r="V13" s="429"/>
      <c r="W13" s="429"/>
      <c r="X13" s="429">
        <v>2700</v>
      </c>
      <c r="Y13" s="429"/>
      <c r="Z13" s="429"/>
      <c r="AA13" s="429"/>
      <c r="AB13" s="429">
        <v>3240</v>
      </c>
      <c r="AC13" s="429"/>
      <c r="AD13" s="429"/>
      <c r="AE13" s="429"/>
      <c r="AF13" s="429">
        <v>3240</v>
      </c>
      <c r="AG13" s="430"/>
      <c r="AH13" s="431"/>
      <c r="AI13" s="431"/>
      <c r="AJ13" s="431"/>
      <c r="AK13" s="431"/>
      <c r="AL13" s="431"/>
      <c r="AM13" s="431"/>
      <c r="AN13" s="420">
        <f t="shared" si="2"/>
        <v>11340</v>
      </c>
      <c r="AO13" s="421" t="s">
        <v>398</v>
      </c>
    </row>
    <row r="14" spans="1:41">
      <c r="A14" s="409">
        <v>15120</v>
      </c>
      <c r="B14" s="249" t="s">
        <v>110</v>
      </c>
      <c r="C14" s="422" t="s">
        <v>228</v>
      </c>
      <c r="D14" s="249" t="s">
        <v>412</v>
      </c>
      <c r="E14" s="409"/>
      <c r="F14" s="409"/>
      <c r="G14" s="411">
        <v>2880</v>
      </c>
      <c r="H14" s="411">
        <v>3600</v>
      </c>
      <c r="I14" s="411">
        <v>4320</v>
      </c>
      <c r="J14" s="411">
        <v>4320</v>
      </c>
      <c r="K14" s="411">
        <f t="shared" si="0"/>
        <v>15120</v>
      </c>
      <c r="L14" s="412"/>
      <c r="M14" s="413"/>
      <c r="N14" s="414"/>
      <c r="O14" s="415"/>
      <c r="P14" s="409">
        <f t="shared" si="1"/>
        <v>15120</v>
      </c>
      <c r="Q14" s="409"/>
      <c r="R14" s="423"/>
      <c r="S14" s="424"/>
      <c r="T14" s="429">
        <f>2880-1800+600</f>
        <v>1680</v>
      </c>
      <c r="U14" s="429">
        <v>1200</v>
      </c>
      <c r="V14" s="429"/>
      <c r="W14" s="429"/>
      <c r="X14" s="429">
        <v>3600</v>
      </c>
      <c r="Y14" s="429"/>
      <c r="Z14" s="429"/>
      <c r="AA14" s="429"/>
      <c r="AB14" s="429">
        <v>4320</v>
      </c>
      <c r="AC14" s="429"/>
      <c r="AD14" s="429"/>
      <c r="AE14" s="429"/>
      <c r="AF14" s="429">
        <v>4320</v>
      </c>
      <c r="AG14" s="430"/>
      <c r="AH14" s="431"/>
      <c r="AI14" s="431"/>
      <c r="AJ14" s="431"/>
      <c r="AK14" s="431"/>
      <c r="AL14" s="431"/>
      <c r="AM14" s="431"/>
      <c r="AN14" s="420">
        <f t="shared" si="2"/>
        <v>15120</v>
      </c>
      <c r="AO14" s="421" t="s">
        <v>398</v>
      </c>
    </row>
    <row r="15" spans="1:41">
      <c r="A15" s="409">
        <v>3780</v>
      </c>
      <c r="B15" s="249" t="s">
        <v>110</v>
      </c>
      <c r="C15" s="422" t="s">
        <v>413</v>
      </c>
      <c r="D15" s="249" t="s">
        <v>412</v>
      </c>
      <c r="E15" s="409"/>
      <c r="F15" s="409"/>
      <c r="G15" s="411">
        <v>720</v>
      </c>
      <c r="H15" s="411">
        <v>900</v>
      </c>
      <c r="I15" s="411">
        <v>1079.9999999999998</v>
      </c>
      <c r="J15" s="411">
        <v>1079.9999999999998</v>
      </c>
      <c r="K15" s="411">
        <f t="shared" si="0"/>
        <v>3780</v>
      </c>
      <c r="L15" s="412"/>
      <c r="M15" s="413"/>
      <c r="N15" s="414"/>
      <c r="O15" s="415"/>
      <c r="P15" s="409">
        <f t="shared" si="1"/>
        <v>3780</v>
      </c>
      <c r="Q15" s="409"/>
      <c r="R15" s="423"/>
      <c r="S15" s="424"/>
      <c r="T15" s="429">
        <v>720</v>
      </c>
      <c r="U15" s="429"/>
      <c r="V15" s="429"/>
      <c r="W15" s="429"/>
      <c r="X15" s="429">
        <v>900</v>
      </c>
      <c r="Y15" s="429"/>
      <c r="Z15" s="429"/>
      <c r="AA15" s="429"/>
      <c r="AB15" s="429">
        <v>1080</v>
      </c>
      <c r="AC15" s="429"/>
      <c r="AD15" s="429"/>
      <c r="AE15" s="429"/>
      <c r="AF15" s="429">
        <v>1080</v>
      </c>
      <c r="AG15" s="430"/>
      <c r="AH15" s="431"/>
      <c r="AI15" s="431"/>
      <c r="AJ15" s="431"/>
      <c r="AK15" s="431"/>
      <c r="AL15" s="431"/>
      <c r="AM15" s="431"/>
      <c r="AN15" s="420">
        <f t="shared" si="2"/>
        <v>3780</v>
      </c>
      <c r="AO15" s="421" t="s">
        <v>398</v>
      </c>
    </row>
    <row r="16" spans="1:41">
      <c r="A16" s="409">
        <v>5040</v>
      </c>
      <c r="B16" s="249" t="s">
        <v>110</v>
      </c>
      <c r="C16" s="422" t="s">
        <v>224</v>
      </c>
      <c r="D16" s="249" t="s">
        <v>412</v>
      </c>
      <c r="E16" s="409"/>
      <c r="F16" s="409"/>
      <c r="G16" s="411">
        <v>960</v>
      </c>
      <c r="H16" s="411">
        <v>1200</v>
      </c>
      <c r="I16" s="411">
        <v>1440</v>
      </c>
      <c r="J16" s="411">
        <v>1440</v>
      </c>
      <c r="K16" s="411">
        <f t="shared" si="0"/>
        <v>5040</v>
      </c>
      <c r="L16" s="412"/>
      <c r="M16" s="413"/>
      <c r="N16" s="414"/>
      <c r="O16" s="415"/>
      <c r="P16" s="409">
        <f t="shared" si="1"/>
        <v>5040</v>
      </c>
      <c r="Q16" s="409"/>
      <c r="R16" s="423"/>
      <c r="S16" s="424"/>
      <c r="T16" s="429">
        <v>960</v>
      </c>
      <c r="U16" s="429"/>
      <c r="V16" s="429"/>
      <c r="W16" s="429"/>
      <c r="X16" s="429">
        <v>1200</v>
      </c>
      <c r="Y16" s="429"/>
      <c r="Z16" s="429"/>
      <c r="AA16" s="429"/>
      <c r="AB16" s="429">
        <v>1440</v>
      </c>
      <c r="AC16" s="429"/>
      <c r="AD16" s="429"/>
      <c r="AE16" s="429"/>
      <c r="AF16" s="429">
        <v>1440</v>
      </c>
      <c r="AG16" s="430"/>
      <c r="AH16" s="431"/>
      <c r="AI16" s="431"/>
      <c r="AJ16" s="431"/>
      <c r="AK16" s="431"/>
      <c r="AL16" s="431"/>
      <c r="AM16" s="431"/>
      <c r="AN16" s="420">
        <f t="shared" si="2"/>
        <v>5040</v>
      </c>
      <c r="AO16" s="421" t="s">
        <v>398</v>
      </c>
    </row>
    <row r="17" spans="1:41">
      <c r="A17" s="409">
        <v>5040</v>
      </c>
      <c r="B17" s="249" t="s">
        <v>110</v>
      </c>
      <c r="C17" s="422" t="s">
        <v>414</v>
      </c>
      <c r="D17" s="249" t="s">
        <v>412</v>
      </c>
      <c r="E17" s="409"/>
      <c r="F17" s="409"/>
      <c r="G17" s="411">
        <v>960</v>
      </c>
      <c r="H17" s="411">
        <v>1200</v>
      </c>
      <c r="I17" s="411">
        <v>1440</v>
      </c>
      <c r="J17" s="411">
        <v>1440</v>
      </c>
      <c r="K17" s="411">
        <f t="shared" si="0"/>
        <v>5040</v>
      </c>
      <c r="L17" s="412"/>
      <c r="M17" s="413"/>
      <c r="N17" s="414"/>
      <c r="O17" s="415"/>
      <c r="P17" s="409">
        <f t="shared" si="1"/>
        <v>5040</v>
      </c>
      <c r="Q17" s="409"/>
      <c r="R17" s="423"/>
      <c r="S17" s="424"/>
      <c r="T17" s="429">
        <v>960</v>
      </c>
      <c r="U17" s="429"/>
      <c r="V17" s="429"/>
      <c r="W17" s="429"/>
      <c r="X17" s="429">
        <v>1200</v>
      </c>
      <c r="Y17" s="429"/>
      <c r="Z17" s="429"/>
      <c r="AA17" s="429"/>
      <c r="AB17" s="429">
        <v>1440</v>
      </c>
      <c r="AC17" s="429"/>
      <c r="AD17" s="429"/>
      <c r="AE17" s="429"/>
      <c r="AF17" s="429">
        <v>1440</v>
      </c>
      <c r="AG17" s="430"/>
      <c r="AH17" s="431"/>
      <c r="AI17" s="431"/>
      <c r="AJ17" s="431"/>
      <c r="AK17" s="431"/>
      <c r="AL17" s="431"/>
      <c r="AM17" s="431"/>
      <c r="AN17" s="420">
        <f t="shared" si="2"/>
        <v>5040</v>
      </c>
      <c r="AO17" s="421" t="s">
        <v>398</v>
      </c>
    </row>
    <row r="18" spans="1:41">
      <c r="A18" s="409">
        <v>9450</v>
      </c>
      <c r="B18" s="249" t="s">
        <v>110</v>
      </c>
      <c r="C18" s="422" t="s">
        <v>415</v>
      </c>
      <c r="D18" s="249" t="s">
        <v>412</v>
      </c>
      <c r="E18" s="409">
        <v>1200</v>
      </c>
      <c r="F18" s="409">
        <v>600</v>
      </c>
      <c r="G18" s="411">
        <v>1800</v>
      </c>
      <c r="H18" s="411">
        <v>2250</v>
      </c>
      <c r="I18" s="411">
        <v>2700</v>
      </c>
      <c r="J18" s="411">
        <v>2700</v>
      </c>
      <c r="K18" s="411">
        <f t="shared" si="0"/>
        <v>9450</v>
      </c>
      <c r="L18" s="412"/>
      <c r="M18" s="413"/>
      <c r="N18" s="414"/>
      <c r="O18" s="415"/>
      <c r="P18" s="409">
        <f t="shared" si="1"/>
        <v>8250</v>
      </c>
      <c r="Q18" s="409"/>
      <c r="R18" s="423"/>
      <c r="S18" s="424"/>
      <c r="T18" s="429">
        <v>600</v>
      </c>
      <c r="U18" s="429"/>
      <c r="V18" s="429">
        <v>750</v>
      </c>
      <c r="W18" s="429">
        <v>750</v>
      </c>
      <c r="X18" s="429">
        <v>750</v>
      </c>
      <c r="Y18" s="429"/>
      <c r="Z18" s="429">
        <v>900</v>
      </c>
      <c r="AA18" s="429">
        <v>900</v>
      </c>
      <c r="AB18" s="429">
        <v>900</v>
      </c>
      <c r="AC18" s="429"/>
      <c r="AD18" s="429">
        <v>900</v>
      </c>
      <c r="AE18" s="429">
        <v>900</v>
      </c>
      <c r="AF18" s="429">
        <v>900</v>
      </c>
      <c r="AG18" s="430"/>
      <c r="AH18" s="431"/>
      <c r="AI18" s="431"/>
      <c r="AJ18" s="431"/>
      <c r="AK18" s="431"/>
      <c r="AL18" s="431"/>
      <c r="AM18" s="431"/>
      <c r="AN18" s="420">
        <f t="shared" si="2"/>
        <v>8250</v>
      </c>
      <c r="AO18" s="421" t="s">
        <v>398</v>
      </c>
    </row>
    <row r="19" spans="1:41">
      <c r="A19" s="409">
        <v>3150</v>
      </c>
      <c r="B19" s="249" t="s">
        <v>110</v>
      </c>
      <c r="C19" s="422" t="s">
        <v>416</v>
      </c>
      <c r="D19" s="249" t="s">
        <v>412</v>
      </c>
      <c r="E19" s="409"/>
      <c r="F19" s="409"/>
      <c r="G19" s="411">
        <v>600</v>
      </c>
      <c r="H19" s="411">
        <v>750</v>
      </c>
      <c r="I19" s="411">
        <v>900</v>
      </c>
      <c r="J19" s="411">
        <v>900</v>
      </c>
      <c r="K19" s="411">
        <f t="shared" si="0"/>
        <v>3150</v>
      </c>
      <c r="L19" s="412"/>
      <c r="M19" s="413"/>
      <c r="N19" s="414"/>
      <c r="O19" s="415"/>
      <c r="P19" s="409">
        <f t="shared" si="1"/>
        <v>3150</v>
      </c>
      <c r="Q19" s="409"/>
      <c r="R19" s="423"/>
      <c r="S19" s="424"/>
      <c r="T19" s="429">
        <v>600</v>
      </c>
      <c r="U19" s="429"/>
      <c r="V19" s="429"/>
      <c r="W19" s="429"/>
      <c r="X19" s="429">
        <v>750</v>
      </c>
      <c r="Y19" s="429"/>
      <c r="Z19" s="429"/>
      <c r="AA19" s="429"/>
      <c r="AB19" s="429">
        <v>900</v>
      </c>
      <c r="AC19" s="429"/>
      <c r="AD19" s="429"/>
      <c r="AE19" s="429"/>
      <c r="AF19" s="429">
        <v>900</v>
      </c>
      <c r="AG19" s="430"/>
      <c r="AH19" s="431"/>
      <c r="AI19" s="431"/>
      <c r="AJ19" s="431"/>
      <c r="AK19" s="431"/>
      <c r="AL19" s="431"/>
      <c r="AM19" s="431"/>
      <c r="AN19" s="420">
        <f t="shared" si="2"/>
        <v>3150</v>
      </c>
      <c r="AO19" s="421" t="s">
        <v>398</v>
      </c>
    </row>
    <row r="20" spans="1:41">
      <c r="A20" s="409">
        <v>9700</v>
      </c>
      <c r="B20" s="249" t="s">
        <v>108</v>
      </c>
      <c r="C20" s="422" t="s">
        <v>417</v>
      </c>
      <c r="D20" s="249" t="s">
        <v>418</v>
      </c>
      <c r="E20" s="409"/>
      <c r="F20" s="409"/>
      <c r="G20" s="411"/>
      <c r="H20" s="411">
        <v>2500</v>
      </c>
      <c r="I20" s="411">
        <v>3600</v>
      </c>
      <c r="J20" s="411">
        <v>3600</v>
      </c>
      <c r="K20" s="411">
        <f t="shared" si="0"/>
        <v>9700</v>
      </c>
      <c r="L20" s="412"/>
      <c r="M20" s="413"/>
      <c r="N20" s="414"/>
      <c r="O20" s="415"/>
      <c r="P20" s="409">
        <f t="shared" si="1"/>
        <v>9700</v>
      </c>
      <c r="Q20" s="409"/>
      <c r="R20" s="423"/>
      <c r="S20" s="424"/>
      <c r="T20" s="417"/>
      <c r="U20" s="417"/>
      <c r="V20" s="417"/>
      <c r="W20" s="417"/>
      <c r="X20" s="417">
        <v>2500</v>
      </c>
      <c r="Y20" s="417"/>
      <c r="Z20" s="417"/>
      <c r="AA20" s="417"/>
      <c r="AB20" s="417">
        <v>3600</v>
      </c>
      <c r="AC20" s="417"/>
      <c r="AD20" s="417"/>
      <c r="AE20" s="417"/>
      <c r="AF20" s="417">
        <v>3600</v>
      </c>
      <c r="AG20" s="430"/>
      <c r="AH20" s="431"/>
      <c r="AI20" s="431"/>
      <c r="AJ20" s="431"/>
      <c r="AK20" s="431"/>
      <c r="AL20" s="431"/>
      <c r="AM20" s="431"/>
      <c r="AN20" s="420">
        <f t="shared" si="2"/>
        <v>9700</v>
      </c>
      <c r="AO20" s="421" t="s">
        <v>419</v>
      </c>
    </row>
    <row r="21" spans="1:41">
      <c r="A21" s="409">
        <v>33300</v>
      </c>
      <c r="B21" s="249" t="s">
        <v>108</v>
      </c>
      <c r="C21" s="422" t="s">
        <v>420</v>
      </c>
      <c r="D21" s="249" t="s">
        <v>418</v>
      </c>
      <c r="E21" s="409"/>
      <c r="F21" s="409"/>
      <c r="G21" s="411">
        <v>4200</v>
      </c>
      <c r="H21" s="411">
        <v>7500</v>
      </c>
      <c r="I21" s="411">
        <v>10800</v>
      </c>
      <c r="J21" s="411">
        <v>10800</v>
      </c>
      <c r="K21" s="411">
        <f t="shared" si="0"/>
        <v>33300</v>
      </c>
      <c r="L21" s="412"/>
      <c r="M21" s="413"/>
      <c r="N21" s="414"/>
      <c r="O21" s="415"/>
      <c r="P21" s="409">
        <f t="shared" si="1"/>
        <v>33300</v>
      </c>
      <c r="Q21" s="409"/>
      <c r="R21" s="423"/>
      <c r="S21" s="424"/>
      <c r="T21" s="417">
        <v>2700</v>
      </c>
      <c r="U21" s="417">
        <v>1500</v>
      </c>
      <c r="V21" s="417"/>
      <c r="W21" s="417">
        <v>2500</v>
      </c>
      <c r="X21" s="417">
        <v>5000</v>
      </c>
      <c r="Y21" s="417"/>
      <c r="Z21" s="417"/>
      <c r="AA21" s="417"/>
      <c r="AB21" s="417">
        <v>10800</v>
      </c>
      <c r="AC21" s="417"/>
      <c r="AD21" s="417"/>
      <c r="AE21" s="417"/>
      <c r="AF21" s="417">
        <v>10800</v>
      </c>
      <c r="AG21" s="430"/>
      <c r="AH21" s="431"/>
      <c r="AI21" s="431"/>
      <c r="AJ21" s="431"/>
      <c r="AK21" s="431"/>
      <c r="AL21" s="431"/>
      <c r="AM21" s="431"/>
      <c r="AN21" s="420">
        <f t="shared" si="2"/>
        <v>33300</v>
      </c>
      <c r="AO21" s="421" t="s">
        <v>419</v>
      </c>
    </row>
    <row r="22" spans="1:41">
      <c r="A22" s="409">
        <v>2460</v>
      </c>
      <c r="B22" s="249" t="s">
        <v>108</v>
      </c>
      <c r="C22" s="427" t="s">
        <v>421</v>
      </c>
      <c r="D22" s="249" t="s">
        <v>418</v>
      </c>
      <c r="E22" s="409"/>
      <c r="F22" s="409"/>
      <c r="G22" s="411">
        <v>420</v>
      </c>
      <c r="H22" s="411">
        <v>600</v>
      </c>
      <c r="I22" s="411">
        <v>720</v>
      </c>
      <c r="J22" s="411">
        <v>720</v>
      </c>
      <c r="K22" s="411">
        <f t="shared" si="0"/>
        <v>2460</v>
      </c>
      <c r="L22" s="412"/>
      <c r="M22" s="413"/>
      <c r="N22" s="414"/>
      <c r="O22" s="415"/>
      <c r="P22" s="409">
        <f t="shared" si="1"/>
        <v>2460</v>
      </c>
      <c r="Q22" s="409"/>
      <c r="R22" s="423"/>
      <c r="S22" s="424"/>
      <c r="T22" s="417">
        <v>378</v>
      </c>
      <c r="U22" s="417">
        <f>420-378</f>
        <v>42</v>
      </c>
      <c r="V22" s="417"/>
      <c r="W22" s="417">
        <v>300</v>
      </c>
      <c r="X22" s="417">
        <v>300</v>
      </c>
      <c r="Y22" s="417"/>
      <c r="Z22" s="417"/>
      <c r="AA22" s="417"/>
      <c r="AB22" s="417">
        <v>720</v>
      </c>
      <c r="AC22" s="417"/>
      <c r="AD22" s="417"/>
      <c r="AE22" s="417"/>
      <c r="AF22" s="417">
        <v>720</v>
      </c>
      <c r="AG22" s="430"/>
      <c r="AH22" s="431"/>
      <c r="AI22" s="431"/>
      <c r="AJ22" s="431"/>
      <c r="AK22" s="431"/>
      <c r="AL22" s="431"/>
      <c r="AM22" s="431"/>
      <c r="AN22" s="420">
        <f t="shared" si="2"/>
        <v>2460</v>
      </c>
      <c r="AO22" s="421" t="s">
        <v>419</v>
      </c>
    </row>
    <row r="23" spans="1:41">
      <c r="A23" s="409">
        <v>11100</v>
      </c>
      <c r="B23" s="249" t="s">
        <v>108</v>
      </c>
      <c r="C23" s="422" t="s">
        <v>75</v>
      </c>
      <c r="D23" s="249" t="s">
        <v>422</v>
      </c>
      <c r="E23" s="409"/>
      <c r="F23" s="409"/>
      <c r="G23" s="411">
        <v>1400</v>
      </c>
      <c r="H23" s="411">
        <v>2500</v>
      </c>
      <c r="I23" s="411">
        <v>3600</v>
      </c>
      <c r="J23" s="411">
        <v>3600</v>
      </c>
      <c r="K23" s="411">
        <f t="shared" si="0"/>
        <v>11100</v>
      </c>
      <c r="L23" s="412"/>
      <c r="M23" s="413"/>
      <c r="N23" s="414"/>
      <c r="O23" s="415"/>
      <c r="P23" s="409">
        <f t="shared" si="1"/>
        <v>11100</v>
      </c>
      <c r="Q23" s="409"/>
      <c r="R23" s="423"/>
      <c r="S23" s="424"/>
      <c r="T23" s="424">
        <v>1400</v>
      </c>
      <c r="U23" s="424"/>
      <c r="V23" s="424"/>
      <c r="W23" s="424">
        <v>1000</v>
      </c>
      <c r="X23" s="424">
        <v>1500</v>
      </c>
      <c r="Y23" s="424"/>
      <c r="Z23" s="424"/>
      <c r="AA23" s="424">
        <v>1000</v>
      </c>
      <c r="AB23" s="424">
        <v>2000</v>
      </c>
      <c r="AC23" s="424">
        <v>600</v>
      </c>
      <c r="AD23" s="424"/>
      <c r="AE23" s="424"/>
      <c r="AF23" s="424">
        <v>2600</v>
      </c>
      <c r="AG23" s="430">
        <v>1000</v>
      </c>
      <c r="AH23" s="431"/>
      <c r="AI23" s="431"/>
      <c r="AJ23" s="431"/>
      <c r="AK23" s="431"/>
      <c r="AL23" s="431"/>
      <c r="AM23" s="431"/>
      <c r="AN23" s="420">
        <f t="shared" si="2"/>
        <v>11100</v>
      </c>
      <c r="AO23" s="421" t="s">
        <v>419</v>
      </c>
    </row>
    <row r="24" spans="1:41">
      <c r="A24" s="409">
        <v>1400</v>
      </c>
      <c r="B24" s="249" t="s">
        <v>108</v>
      </c>
      <c r="C24" s="410" t="s">
        <v>77</v>
      </c>
      <c r="D24" s="249" t="s">
        <v>423</v>
      </c>
      <c r="E24" s="409"/>
      <c r="F24" s="409"/>
      <c r="G24" s="411">
        <v>1400</v>
      </c>
      <c r="H24" s="411"/>
      <c r="I24" s="411"/>
      <c r="J24" s="411"/>
      <c r="K24" s="411">
        <f t="shared" si="0"/>
        <v>1400</v>
      </c>
      <c r="L24" s="412"/>
      <c r="M24" s="413"/>
      <c r="N24" s="414"/>
      <c r="O24" s="415"/>
      <c r="P24" s="409">
        <f t="shared" si="1"/>
        <v>1400</v>
      </c>
      <c r="Q24" s="409"/>
      <c r="R24" s="423"/>
      <c r="S24" s="424"/>
      <c r="T24" s="417">
        <v>1400</v>
      </c>
      <c r="U24" s="417"/>
      <c r="V24" s="432"/>
      <c r="W24" s="432"/>
      <c r="X24" s="432"/>
      <c r="Y24" s="432"/>
      <c r="Z24" s="432"/>
      <c r="AA24" s="432"/>
      <c r="AB24" s="432"/>
      <c r="AC24" s="432"/>
      <c r="AD24" s="432"/>
      <c r="AE24" s="432"/>
      <c r="AF24" s="432"/>
      <c r="AG24" s="430"/>
      <c r="AH24" s="431"/>
      <c r="AI24" s="431"/>
      <c r="AJ24" s="431"/>
      <c r="AK24" s="431"/>
      <c r="AL24" s="431"/>
      <c r="AM24" s="431"/>
      <c r="AN24" s="420">
        <f t="shared" si="2"/>
        <v>1400</v>
      </c>
      <c r="AO24" s="421" t="s">
        <v>419</v>
      </c>
    </row>
    <row r="25" spans="1:41">
      <c r="A25" s="409">
        <v>3000</v>
      </c>
      <c r="B25" s="249" t="s">
        <v>58</v>
      </c>
      <c r="C25" s="433" t="s">
        <v>424</v>
      </c>
      <c r="D25" s="249" t="s">
        <v>425</v>
      </c>
      <c r="E25" s="409"/>
      <c r="F25" s="409"/>
      <c r="G25" s="411"/>
      <c r="H25" s="411"/>
      <c r="I25" s="411"/>
      <c r="J25" s="411"/>
      <c r="K25" s="411">
        <f t="shared" si="0"/>
        <v>0</v>
      </c>
      <c r="L25" s="412">
        <v>3000</v>
      </c>
      <c r="M25" s="413"/>
      <c r="N25" s="414"/>
      <c r="O25" s="415"/>
      <c r="P25" s="409">
        <f t="shared" si="1"/>
        <v>3000</v>
      </c>
      <c r="Q25" s="409"/>
      <c r="R25" s="423"/>
      <c r="S25" s="424"/>
      <c r="T25" s="417">
        <v>62</v>
      </c>
      <c r="U25" s="417">
        <f>750-62</f>
        <v>688</v>
      </c>
      <c r="V25" s="417"/>
      <c r="W25" s="417"/>
      <c r="X25" s="417">
        <v>750</v>
      </c>
      <c r="Y25" s="417"/>
      <c r="Z25" s="417"/>
      <c r="AA25" s="417"/>
      <c r="AB25" s="417">
        <v>750</v>
      </c>
      <c r="AC25" s="417"/>
      <c r="AD25" s="417"/>
      <c r="AE25" s="417"/>
      <c r="AF25" s="417">
        <v>750</v>
      </c>
      <c r="AG25" s="418"/>
      <c r="AH25" s="419"/>
      <c r="AI25" s="419"/>
      <c r="AJ25" s="419"/>
      <c r="AK25" s="419"/>
      <c r="AL25" s="419"/>
      <c r="AM25" s="419"/>
      <c r="AN25" s="420">
        <f t="shared" si="2"/>
        <v>3000</v>
      </c>
      <c r="AO25" s="421" t="s">
        <v>419</v>
      </c>
    </row>
    <row r="26" spans="1:41">
      <c r="A26" s="409">
        <v>10000</v>
      </c>
      <c r="B26" s="249" t="s">
        <v>26</v>
      </c>
      <c r="C26" s="434" t="s">
        <v>426</v>
      </c>
      <c r="D26" s="249" t="s">
        <v>427</v>
      </c>
      <c r="E26" s="409">
        <f>1300+1545</f>
        <v>2845</v>
      </c>
      <c r="F26" s="409">
        <f>232+180</f>
        <v>412</v>
      </c>
      <c r="G26" s="411"/>
      <c r="H26" s="411"/>
      <c r="I26" s="411"/>
      <c r="J26" s="411"/>
      <c r="K26" s="411">
        <f t="shared" si="0"/>
        <v>0</v>
      </c>
      <c r="L26" s="412"/>
      <c r="M26" s="413">
        <v>10000</v>
      </c>
      <c r="N26" s="414"/>
      <c r="O26" s="415"/>
      <c r="P26" s="409">
        <f t="shared" si="1"/>
        <v>7155</v>
      </c>
      <c r="Q26" s="409"/>
      <c r="R26" s="416"/>
      <c r="S26" s="417"/>
      <c r="T26" s="417">
        <v>1887</v>
      </c>
      <c r="U26" s="417">
        <v>2000</v>
      </c>
      <c r="V26" s="417">
        <v>1000</v>
      </c>
      <c r="W26" s="417"/>
      <c r="X26" s="417">
        <v>800</v>
      </c>
      <c r="Y26" s="417"/>
      <c r="Z26" s="417">
        <v>468</v>
      </c>
      <c r="AA26" s="417"/>
      <c r="AB26" s="417"/>
      <c r="AC26" s="417"/>
      <c r="AD26" s="417">
        <v>1000</v>
      </c>
      <c r="AE26" s="417"/>
      <c r="AF26" s="417"/>
      <c r="AG26" s="418"/>
      <c r="AH26" s="419"/>
      <c r="AI26" s="419"/>
      <c r="AJ26" s="419"/>
      <c r="AK26" s="419"/>
      <c r="AL26" s="419"/>
      <c r="AM26" s="419"/>
      <c r="AN26" s="420">
        <f t="shared" si="2"/>
        <v>7155</v>
      </c>
      <c r="AO26" s="421" t="s">
        <v>419</v>
      </c>
    </row>
    <row r="27" spans="1:41">
      <c r="A27" s="409">
        <v>5000</v>
      </c>
      <c r="B27" s="249" t="s">
        <v>26</v>
      </c>
      <c r="C27" s="435" t="s">
        <v>428</v>
      </c>
      <c r="D27" s="249" t="s">
        <v>427</v>
      </c>
      <c r="E27" s="409">
        <v>400</v>
      </c>
      <c r="F27" s="409"/>
      <c r="G27" s="411"/>
      <c r="H27" s="411"/>
      <c r="I27" s="411"/>
      <c r="J27" s="411"/>
      <c r="K27" s="411">
        <f t="shared" si="0"/>
        <v>0</v>
      </c>
      <c r="L27" s="412"/>
      <c r="M27" s="413">
        <v>5000</v>
      </c>
      <c r="N27" s="414"/>
      <c r="O27" s="415"/>
      <c r="P27" s="409">
        <f t="shared" si="1"/>
        <v>4600</v>
      </c>
      <c r="Q27" s="409"/>
      <c r="R27" s="416"/>
      <c r="S27" s="417"/>
      <c r="T27" s="417">
        <v>1000</v>
      </c>
      <c r="U27" s="417">
        <v>3600</v>
      </c>
      <c r="V27" s="417"/>
      <c r="W27" s="417"/>
      <c r="X27" s="417"/>
      <c r="Y27" s="417"/>
      <c r="Z27" s="417"/>
      <c r="AA27" s="417"/>
      <c r="AB27" s="417"/>
      <c r="AC27" s="417"/>
      <c r="AD27" s="417"/>
      <c r="AE27" s="417"/>
      <c r="AF27" s="417"/>
      <c r="AG27" s="418"/>
      <c r="AH27" s="419"/>
      <c r="AI27" s="419"/>
      <c r="AJ27" s="419"/>
      <c r="AK27" s="419"/>
      <c r="AL27" s="419"/>
      <c r="AM27" s="419"/>
      <c r="AN27" s="420">
        <f t="shared" si="2"/>
        <v>4600</v>
      </c>
      <c r="AO27" s="421" t="s">
        <v>419</v>
      </c>
    </row>
    <row r="28" spans="1:41">
      <c r="A28" s="409">
        <v>20500</v>
      </c>
      <c r="B28" s="249" t="s">
        <v>26</v>
      </c>
      <c r="C28" s="435" t="s">
        <v>429</v>
      </c>
      <c r="D28" s="249" t="s">
        <v>427</v>
      </c>
      <c r="E28" s="409">
        <v>200</v>
      </c>
      <c r="F28" s="409">
        <v>1704</v>
      </c>
      <c r="G28" s="411">
        <v>3500</v>
      </c>
      <c r="H28" s="411">
        <v>5000</v>
      </c>
      <c r="I28" s="411">
        <v>6000</v>
      </c>
      <c r="J28" s="411">
        <v>6000</v>
      </c>
      <c r="K28" s="411">
        <f t="shared" si="0"/>
        <v>20500</v>
      </c>
      <c r="L28" s="412"/>
      <c r="M28" s="413"/>
      <c r="N28" s="414"/>
      <c r="O28" s="415"/>
      <c r="P28" s="409">
        <f t="shared" si="1"/>
        <v>20300</v>
      </c>
      <c r="Q28" s="409"/>
      <c r="R28" s="416"/>
      <c r="S28" s="416"/>
      <c r="T28" s="417">
        <v>1000</v>
      </c>
      <c r="U28" s="417">
        <f>2500-200</f>
        <v>2300</v>
      </c>
      <c r="V28" s="417"/>
      <c r="W28" s="417"/>
      <c r="X28" s="417">
        <v>5000</v>
      </c>
      <c r="Y28" s="417"/>
      <c r="Z28" s="417"/>
      <c r="AA28" s="417"/>
      <c r="AB28" s="417">
        <v>6000</v>
      </c>
      <c r="AC28" s="417"/>
      <c r="AD28" s="417"/>
      <c r="AE28" s="417"/>
      <c r="AF28" s="417">
        <v>6000</v>
      </c>
      <c r="AG28" s="418"/>
      <c r="AH28" s="419"/>
      <c r="AI28" s="419"/>
      <c r="AJ28" s="419"/>
      <c r="AK28" s="419"/>
      <c r="AL28" s="419"/>
      <c r="AM28" s="419"/>
      <c r="AN28" s="420">
        <f t="shared" si="2"/>
        <v>20300</v>
      </c>
      <c r="AO28" s="421"/>
    </row>
    <row r="29" spans="1:41">
      <c r="A29" s="409">
        <v>3600</v>
      </c>
      <c r="B29" s="249" t="s">
        <v>26</v>
      </c>
      <c r="C29" s="436" t="s">
        <v>430</v>
      </c>
      <c r="D29" s="249" t="s">
        <v>431</v>
      </c>
      <c r="E29" s="409"/>
      <c r="F29" s="409"/>
      <c r="G29" s="411">
        <v>900</v>
      </c>
      <c r="H29" s="411">
        <v>900</v>
      </c>
      <c r="I29" s="411">
        <v>900</v>
      </c>
      <c r="J29" s="411">
        <v>900</v>
      </c>
      <c r="K29" s="411">
        <f t="shared" si="0"/>
        <v>3600</v>
      </c>
      <c r="L29" s="412"/>
      <c r="M29" s="413"/>
      <c r="N29" s="414"/>
      <c r="O29" s="415"/>
      <c r="P29" s="409">
        <f t="shared" si="1"/>
        <v>3600</v>
      </c>
      <c r="Q29" s="409"/>
      <c r="R29" s="416"/>
      <c r="S29" s="417"/>
      <c r="T29" s="424">
        <v>2700</v>
      </c>
      <c r="U29" s="424"/>
      <c r="V29" s="424"/>
      <c r="W29" s="424"/>
      <c r="X29" s="424"/>
      <c r="Y29" s="424"/>
      <c r="Z29" s="424"/>
      <c r="AA29" s="424"/>
      <c r="AB29" s="424"/>
      <c r="AC29" s="424"/>
      <c r="AD29" s="424"/>
      <c r="AE29" s="424"/>
      <c r="AF29" s="424">
        <v>900</v>
      </c>
      <c r="AG29" s="418"/>
      <c r="AH29" s="419"/>
      <c r="AI29" s="419"/>
      <c r="AJ29" s="419"/>
      <c r="AK29" s="419"/>
      <c r="AL29" s="419"/>
      <c r="AM29" s="419"/>
      <c r="AN29" s="420">
        <f t="shared" si="2"/>
        <v>3600</v>
      </c>
      <c r="AO29" s="421" t="s">
        <v>419</v>
      </c>
    </row>
    <row r="30" spans="1:41">
      <c r="A30" s="409">
        <v>4725</v>
      </c>
      <c r="B30" s="249" t="s">
        <v>26</v>
      </c>
      <c r="C30" s="422" t="s">
        <v>432</v>
      </c>
      <c r="D30" s="249" t="s">
        <v>433</v>
      </c>
      <c r="E30" s="409"/>
      <c r="F30" s="409"/>
      <c r="G30" s="411">
        <v>900</v>
      </c>
      <c r="H30" s="411">
        <v>1125</v>
      </c>
      <c r="I30" s="411">
        <v>1350</v>
      </c>
      <c r="J30" s="411">
        <v>1350</v>
      </c>
      <c r="K30" s="411">
        <f t="shared" si="0"/>
        <v>4725</v>
      </c>
      <c r="L30" s="412"/>
      <c r="M30" s="413"/>
      <c r="N30" s="414"/>
      <c r="O30" s="415"/>
      <c r="P30" s="409">
        <f t="shared" si="1"/>
        <v>4725</v>
      </c>
      <c r="Q30" s="409"/>
      <c r="R30" s="416"/>
      <c r="S30" s="417"/>
      <c r="T30" s="424">
        <v>900</v>
      </c>
      <c r="U30" s="424"/>
      <c r="V30" s="424"/>
      <c r="W30" s="424">
        <v>500</v>
      </c>
      <c r="X30" s="424">
        <v>625</v>
      </c>
      <c r="Y30" s="424"/>
      <c r="Z30" s="424"/>
      <c r="AA30" s="424"/>
      <c r="AB30" s="424">
        <v>1350</v>
      </c>
      <c r="AC30" s="424"/>
      <c r="AD30" s="424"/>
      <c r="AE30" s="424"/>
      <c r="AF30" s="424">
        <v>1350</v>
      </c>
      <c r="AG30" s="418"/>
      <c r="AH30" s="419"/>
      <c r="AI30" s="419"/>
      <c r="AJ30" s="419"/>
      <c r="AK30" s="419"/>
      <c r="AL30" s="419"/>
      <c r="AM30" s="419"/>
      <c r="AN30" s="420">
        <f t="shared" si="2"/>
        <v>4725</v>
      </c>
      <c r="AO30" s="421" t="s">
        <v>419</v>
      </c>
    </row>
    <row r="31" spans="1:41">
      <c r="A31" s="409">
        <v>3150</v>
      </c>
      <c r="B31" s="249" t="s">
        <v>26</v>
      </c>
      <c r="C31" s="436" t="s">
        <v>434</v>
      </c>
      <c r="D31" s="249" t="s">
        <v>435</v>
      </c>
      <c r="E31" s="409"/>
      <c r="F31" s="409"/>
      <c r="G31" s="411">
        <v>600</v>
      </c>
      <c r="H31" s="411">
        <v>750</v>
      </c>
      <c r="I31" s="411">
        <v>900</v>
      </c>
      <c r="J31" s="411">
        <v>900</v>
      </c>
      <c r="K31" s="411">
        <f t="shared" si="0"/>
        <v>3150</v>
      </c>
      <c r="L31" s="412"/>
      <c r="M31" s="413"/>
      <c r="N31" s="414"/>
      <c r="O31" s="415"/>
      <c r="P31" s="409">
        <f t="shared" si="1"/>
        <v>3150</v>
      </c>
      <c r="Q31" s="409"/>
      <c r="R31" s="416"/>
      <c r="S31" s="417"/>
      <c r="T31" s="424"/>
      <c r="U31" s="424"/>
      <c r="V31" s="424">
        <v>1141</v>
      </c>
      <c r="W31" s="424">
        <v>1141</v>
      </c>
      <c r="X31" s="424">
        <v>375</v>
      </c>
      <c r="Y31" s="424"/>
      <c r="Z31" s="424"/>
      <c r="AA31" s="424"/>
      <c r="AB31" s="424">
        <v>375</v>
      </c>
      <c r="AC31" s="424"/>
      <c r="AD31" s="424"/>
      <c r="AE31" s="424"/>
      <c r="AF31" s="424">
        <v>118</v>
      </c>
      <c r="AG31" s="418"/>
      <c r="AH31" s="419"/>
      <c r="AI31" s="419"/>
      <c r="AJ31" s="419"/>
      <c r="AK31" s="419"/>
      <c r="AL31" s="419"/>
      <c r="AM31" s="419"/>
      <c r="AN31" s="420">
        <f t="shared" si="2"/>
        <v>3150</v>
      </c>
      <c r="AO31" s="421" t="s">
        <v>419</v>
      </c>
    </row>
    <row r="32" spans="1:41">
      <c r="A32" s="409">
        <v>6000</v>
      </c>
      <c r="B32" s="249" t="s">
        <v>112</v>
      </c>
      <c r="C32" s="422" t="s">
        <v>90</v>
      </c>
      <c r="D32" s="249" t="s">
        <v>436</v>
      </c>
      <c r="E32" s="409"/>
      <c r="F32" s="409"/>
      <c r="G32" s="411">
        <v>1500</v>
      </c>
      <c r="H32" s="411">
        <v>1500</v>
      </c>
      <c r="I32" s="411">
        <v>1500</v>
      </c>
      <c r="J32" s="411">
        <v>1500</v>
      </c>
      <c r="K32" s="411">
        <f t="shared" si="0"/>
        <v>6000</v>
      </c>
      <c r="L32" s="412"/>
      <c r="M32" s="413"/>
      <c r="N32" s="414"/>
      <c r="O32" s="415"/>
      <c r="P32" s="409">
        <f t="shared" si="1"/>
        <v>6000</v>
      </c>
      <c r="Q32" s="409"/>
      <c r="R32" s="416"/>
      <c r="S32" s="417"/>
      <c r="T32" s="424">
        <v>1500</v>
      </c>
      <c r="U32" s="424"/>
      <c r="V32" s="424"/>
      <c r="W32" s="424">
        <v>500</v>
      </c>
      <c r="X32" s="424">
        <v>1000</v>
      </c>
      <c r="Y32" s="424"/>
      <c r="Z32" s="424"/>
      <c r="AA32" s="424"/>
      <c r="AB32" s="424">
        <v>1500</v>
      </c>
      <c r="AC32" s="424"/>
      <c r="AD32" s="424"/>
      <c r="AE32" s="424"/>
      <c r="AF32" s="424">
        <v>1500</v>
      </c>
      <c r="AG32" s="425"/>
      <c r="AH32" s="426"/>
      <c r="AI32" s="426"/>
      <c r="AJ32" s="426"/>
      <c r="AK32" s="426"/>
      <c r="AL32" s="426"/>
      <c r="AM32" s="426"/>
      <c r="AN32" s="420">
        <f t="shared" si="2"/>
        <v>6000</v>
      </c>
      <c r="AO32" s="421" t="s">
        <v>419</v>
      </c>
    </row>
    <row r="33" spans="1:42">
      <c r="A33" s="409">
        <v>24000</v>
      </c>
      <c r="B33" s="249" t="s">
        <v>51</v>
      </c>
      <c r="C33" s="422" t="s">
        <v>437</v>
      </c>
      <c r="D33" s="249" t="s">
        <v>438</v>
      </c>
      <c r="E33" s="409"/>
      <c r="F33" s="409"/>
      <c r="G33" s="411"/>
      <c r="H33" s="411"/>
      <c r="I33" s="411"/>
      <c r="J33" s="411"/>
      <c r="K33" s="411">
        <f t="shared" si="0"/>
        <v>0</v>
      </c>
      <c r="L33" s="412">
        <v>24000</v>
      </c>
      <c r="M33" s="413"/>
      <c r="N33" s="414"/>
      <c r="O33" s="415"/>
      <c r="P33" s="409">
        <f t="shared" si="1"/>
        <v>24000</v>
      </c>
      <c r="Q33" s="409"/>
      <c r="R33" s="423"/>
      <c r="S33" s="424"/>
      <c r="T33" s="424"/>
      <c r="U33" s="424"/>
      <c r="V33" s="424"/>
      <c r="W33" s="424"/>
      <c r="X33" s="424"/>
      <c r="Y33" s="424"/>
      <c r="Z33" s="424"/>
      <c r="AA33" s="424"/>
      <c r="AB33" s="424"/>
      <c r="AC33" s="424"/>
      <c r="AD33" s="424"/>
      <c r="AE33" s="424"/>
      <c r="AF33" s="424"/>
      <c r="AG33" s="430"/>
      <c r="AH33" s="431"/>
      <c r="AI33" s="431"/>
      <c r="AJ33" s="431"/>
      <c r="AK33" s="431"/>
      <c r="AL33" s="431"/>
      <c r="AM33" s="431"/>
      <c r="AN33" s="420">
        <f>P33</f>
        <v>24000</v>
      </c>
      <c r="AO33" s="421" t="s">
        <v>398</v>
      </c>
    </row>
    <row r="34" spans="1:42">
      <c r="A34" s="409">
        <v>18750</v>
      </c>
      <c r="B34" s="249" t="s">
        <v>51</v>
      </c>
      <c r="C34" s="422" t="s">
        <v>439</v>
      </c>
      <c r="D34" s="249" t="s">
        <v>438</v>
      </c>
      <c r="E34" s="409"/>
      <c r="F34" s="409"/>
      <c r="G34" s="411"/>
      <c r="H34" s="411"/>
      <c r="I34" s="411"/>
      <c r="J34" s="411"/>
      <c r="K34" s="411">
        <f t="shared" si="0"/>
        <v>0</v>
      </c>
      <c r="L34" s="412">
        <v>18750</v>
      </c>
      <c r="M34" s="413"/>
      <c r="N34" s="414"/>
      <c r="O34" s="415"/>
      <c r="P34" s="409">
        <f t="shared" si="1"/>
        <v>18750</v>
      </c>
      <c r="Q34" s="409"/>
      <c r="R34" s="423"/>
      <c r="S34" s="424"/>
      <c r="T34" s="424"/>
      <c r="U34" s="424"/>
      <c r="V34" s="424"/>
      <c r="W34" s="424"/>
      <c r="X34" s="424"/>
      <c r="Y34" s="424"/>
      <c r="Z34" s="424"/>
      <c r="AA34" s="424"/>
      <c r="AB34" s="424"/>
      <c r="AC34" s="424"/>
      <c r="AD34" s="424"/>
      <c r="AE34" s="424"/>
      <c r="AF34" s="424"/>
      <c r="AG34" s="430"/>
      <c r="AH34" s="431"/>
      <c r="AI34" s="431"/>
      <c r="AJ34" s="431"/>
      <c r="AK34" s="431"/>
      <c r="AL34" s="431"/>
      <c r="AM34" s="431"/>
      <c r="AN34" s="420">
        <f t="shared" ref="AN34:AN36" si="3">P34</f>
        <v>18750</v>
      </c>
      <c r="AO34" s="421" t="s">
        <v>398</v>
      </c>
    </row>
    <row r="35" spans="1:42">
      <c r="A35" s="409">
        <v>-24000</v>
      </c>
      <c r="B35" s="249" t="s">
        <v>51</v>
      </c>
      <c r="C35" s="422" t="s">
        <v>437</v>
      </c>
      <c r="D35" s="249" t="s">
        <v>438</v>
      </c>
      <c r="E35" s="409"/>
      <c r="F35" s="409"/>
      <c r="G35" s="411"/>
      <c r="H35" s="411"/>
      <c r="I35" s="411"/>
      <c r="J35" s="411"/>
      <c r="K35" s="411">
        <f t="shared" si="0"/>
        <v>0</v>
      </c>
      <c r="L35" s="412">
        <v>-24000</v>
      </c>
      <c r="M35" s="413"/>
      <c r="N35" s="414"/>
      <c r="O35" s="415"/>
      <c r="P35" s="409">
        <f t="shared" si="1"/>
        <v>-24000</v>
      </c>
      <c r="Q35" s="409"/>
      <c r="R35" s="423"/>
      <c r="S35" s="424"/>
      <c r="T35" s="424"/>
      <c r="U35" s="424"/>
      <c r="V35" s="424"/>
      <c r="W35" s="424"/>
      <c r="X35" s="424"/>
      <c r="Y35" s="424"/>
      <c r="Z35" s="424"/>
      <c r="AA35" s="424"/>
      <c r="AB35" s="424"/>
      <c r="AC35" s="424"/>
      <c r="AD35" s="424"/>
      <c r="AE35" s="424"/>
      <c r="AF35" s="424"/>
      <c r="AG35" s="430"/>
      <c r="AH35" s="431"/>
      <c r="AI35" s="431"/>
      <c r="AJ35" s="431"/>
      <c r="AK35" s="431"/>
      <c r="AL35" s="431"/>
      <c r="AM35" s="431"/>
      <c r="AN35" s="420">
        <f t="shared" si="3"/>
        <v>-24000</v>
      </c>
      <c r="AO35" s="421" t="s">
        <v>398</v>
      </c>
    </row>
    <row r="36" spans="1:42">
      <c r="A36" s="409">
        <v>-18750</v>
      </c>
      <c r="B36" s="249" t="s">
        <v>51</v>
      </c>
      <c r="C36" s="422" t="s">
        <v>439</v>
      </c>
      <c r="D36" s="249" t="s">
        <v>438</v>
      </c>
      <c r="E36" s="409"/>
      <c r="F36" s="409"/>
      <c r="G36" s="411"/>
      <c r="H36" s="411"/>
      <c r="I36" s="411"/>
      <c r="J36" s="411"/>
      <c r="K36" s="411">
        <f t="shared" si="0"/>
        <v>0</v>
      </c>
      <c r="L36" s="412">
        <v>-18750</v>
      </c>
      <c r="M36" s="413"/>
      <c r="N36" s="414"/>
      <c r="O36" s="415"/>
      <c r="P36" s="409">
        <f t="shared" si="1"/>
        <v>-18750</v>
      </c>
      <c r="Q36" s="409"/>
      <c r="R36" s="423"/>
      <c r="S36" s="424"/>
      <c r="T36" s="424"/>
      <c r="U36" s="424"/>
      <c r="V36" s="424"/>
      <c r="W36" s="424"/>
      <c r="X36" s="424"/>
      <c r="Y36" s="424"/>
      <c r="Z36" s="424"/>
      <c r="AA36" s="424"/>
      <c r="AB36" s="424"/>
      <c r="AC36" s="424"/>
      <c r="AD36" s="424"/>
      <c r="AE36" s="424"/>
      <c r="AF36" s="424"/>
      <c r="AG36" s="430"/>
      <c r="AH36" s="431"/>
      <c r="AI36" s="431"/>
      <c r="AJ36" s="431"/>
      <c r="AK36" s="431"/>
      <c r="AL36" s="431"/>
      <c r="AM36" s="431"/>
      <c r="AN36" s="420">
        <f t="shared" si="3"/>
        <v>-18750</v>
      </c>
      <c r="AO36" s="421" t="s">
        <v>398</v>
      </c>
    </row>
    <row r="37" spans="1:42">
      <c r="A37" s="409">
        <v>2400</v>
      </c>
      <c r="B37" s="249" t="s">
        <v>51</v>
      </c>
      <c r="C37" s="422" t="s">
        <v>440</v>
      </c>
      <c r="D37" s="249" t="s">
        <v>438</v>
      </c>
      <c r="E37" s="409">
        <v>15</v>
      </c>
      <c r="F37" s="409"/>
      <c r="G37" s="411"/>
      <c r="H37" s="411"/>
      <c r="I37" s="411"/>
      <c r="J37" s="411"/>
      <c r="K37" s="411">
        <f t="shared" si="0"/>
        <v>0</v>
      </c>
      <c r="L37" s="412">
        <v>2400</v>
      </c>
      <c r="M37" s="413"/>
      <c r="N37" s="414"/>
      <c r="O37" s="415"/>
      <c r="P37" s="409">
        <f t="shared" si="1"/>
        <v>2385</v>
      </c>
      <c r="Q37" s="409"/>
      <c r="R37" s="416"/>
      <c r="S37" s="417">
        <f>150+135-285</f>
        <v>0</v>
      </c>
      <c r="T37" s="417">
        <f>60+226.8</f>
        <v>286.8</v>
      </c>
      <c r="U37" s="417">
        <f>150+585-60-226.8</f>
        <v>448.2</v>
      </c>
      <c r="V37" s="417">
        <v>150</v>
      </c>
      <c r="W37" s="417">
        <v>300</v>
      </c>
      <c r="X37" s="417">
        <v>150</v>
      </c>
      <c r="Y37" s="417"/>
      <c r="Z37" s="417"/>
      <c r="AA37" s="417"/>
      <c r="AB37" s="417">
        <v>450</v>
      </c>
      <c r="AC37" s="417"/>
      <c r="AD37" s="417">
        <v>450</v>
      </c>
      <c r="AE37" s="417"/>
      <c r="AF37" s="417">
        <v>150</v>
      </c>
      <c r="AG37" s="418"/>
      <c r="AH37" s="419"/>
      <c r="AI37" s="419"/>
      <c r="AJ37" s="419"/>
      <c r="AK37" s="419"/>
      <c r="AL37" s="419"/>
      <c r="AM37" s="419"/>
      <c r="AN37" s="420">
        <f t="shared" si="2"/>
        <v>2385</v>
      </c>
      <c r="AO37" s="421" t="s">
        <v>419</v>
      </c>
    </row>
    <row r="38" spans="1:42" ht="13.5" thickBot="1">
      <c r="A38" s="437">
        <f>SUM(A4:A37)</f>
        <v>354588.1</v>
      </c>
      <c r="E38" s="437">
        <f t="shared" ref="E38:O38" si="4">SUM(E4:E37)</f>
        <v>9289</v>
      </c>
      <c r="F38" s="437">
        <f t="shared" si="4"/>
        <v>2716</v>
      </c>
      <c r="G38" s="438">
        <f t="shared" si="4"/>
        <v>26340</v>
      </c>
      <c r="H38" s="438">
        <f t="shared" si="4"/>
        <v>36775</v>
      </c>
      <c r="I38" s="438">
        <f t="shared" si="4"/>
        <v>47190</v>
      </c>
      <c r="J38" s="438">
        <f t="shared" si="4"/>
        <v>47190</v>
      </c>
      <c r="K38" s="438">
        <f t="shared" si="4"/>
        <v>157495</v>
      </c>
      <c r="L38" s="439">
        <f t="shared" si="4"/>
        <v>16500</v>
      </c>
      <c r="M38" s="440">
        <f t="shared" si="4"/>
        <v>15000</v>
      </c>
      <c r="N38" s="441">
        <f t="shared" si="4"/>
        <v>160770</v>
      </c>
      <c r="O38" s="442">
        <f t="shared" si="4"/>
        <v>4823</v>
      </c>
      <c r="P38" s="437">
        <f>G38+H38+I38+J38+L38+M38+N38+O38-E38</f>
        <v>345299</v>
      </c>
      <c r="Q38" s="437"/>
      <c r="R38" s="443">
        <f t="shared" ref="R38:AN38" si="5">SUM(R4:R37)</f>
        <v>0</v>
      </c>
      <c r="S38" s="443">
        <f t="shared" si="5"/>
        <v>0</v>
      </c>
      <c r="T38" s="443">
        <f t="shared" si="5"/>
        <v>33380.800000000003</v>
      </c>
      <c r="U38" s="443">
        <f t="shared" si="5"/>
        <v>28089.200000000001</v>
      </c>
      <c r="V38" s="443">
        <f t="shared" si="5"/>
        <v>3191</v>
      </c>
      <c r="W38" s="443">
        <f t="shared" si="5"/>
        <v>14316</v>
      </c>
      <c r="X38" s="443">
        <f t="shared" si="5"/>
        <v>63074</v>
      </c>
      <c r="Y38" s="443">
        <f t="shared" si="5"/>
        <v>5300</v>
      </c>
      <c r="Z38" s="443">
        <f t="shared" si="5"/>
        <v>1518</v>
      </c>
      <c r="AA38" s="443">
        <f t="shared" si="5"/>
        <v>6700</v>
      </c>
      <c r="AB38" s="443">
        <f t="shared" si="5"/>
        <v>80033</v>
      </c>
      <c r="AC38" s="443">
        <f t="shared" si="5"/>
        <v>10210</v>
      </c>
      <c r="AD38" s="443">
        <f t="shared" si="5"/>
        <v>2350</v>
      </c>
      <c r="AE38" s="443">
        <f t="shared" si="5"/>
        <v>15900</v>
      </c>
      <c r="AF38" s="443">
        <f t="shared" si="5"/>
        <v>73277</v>
      </c>
      <c r="AG38" s="443">
        <f t="shared" si="5"/>
        <v>7960</v>
      </c>
      <c r="AH38" s="443">
        <f t="shared" si="5"/>
        <v>0</v>
      </c>
      <c r="AI38" s="443">
        <f t="shared" si="5"/>
        <v>0</v>
      </c>
      <c r="AJ38" s="443">
        <f t="shared" si="5"/>
        <v>0</v>
      </c>
      <c r="AK38" s="443">
        <f t="shared" si="5"/>
        <v>0</v>
      </c>
      <c r="AL38" s="443">
        <f t="shared" si="5"/>
        <v>0</v>
      </c>
      <c r="AM38" s="443">
        <f t="shared" si="5"/>
        <v>0</v>
      </c>
      <c r="AN38" s="437">
        <f t="shared" si="5"/>
        <v>345299</v>
      </c>
      <c r="AO38" s="421"/>
      <c r="AP38" s="409"/>
    </row>
    <row r="39" spans="1:42" ht="13.5" thickTop="1">
      <c r="A39" s="470"/>
      <c r="E39" s="470"/>
      <c r="F39" s="470"/>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21"/>
      <c r="AP39" s="409"/>
    </row>
    <row r="40" spans="1:42">
      <c r="A40" s="492" t="s">
        <v>441</v>
      </c>
      <c r="B40" s="481"/>
      <c r="C40" s="481"/>
      <c r="E40" s="470"/>
      <c r="F40" s="470"/>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21"/>
      <c r="AP40" s="409"/>
    </row>
    <row r="41" spans="1:42" ht="38.25">
      <c r="A41" s="399" t="s">
        <v>135</v>
      </c>
      <c r="B41" s="400" t="s">
        <v>373</v>
      </c>
      <c r="C41" s="400"/>
      <c r="D41" s="400" t="s">
        <v>374</v>
      </c>
      <c r="E41" s="399" t="s">
        <v>375</v>
      </c>
      <c r="F41" s="399" t="s">
        <v>376</v>
      </c>
      <c r="G41" s="514" t="s">
        <v>377</v>
      </c>
      <c r="H41" s="514"/>
      <c r="I41" s="514"/>
      <c r="J41" s="514"/>
      <c r="K41" s="497" t="s">
        <v>378</v>
      </c>
      <c r="L41" s="412"/>
      <c r="M41" s="413"/>
      <c r="N41" s="414"/>
      <c r="O41" s="415"/>
      <c r="P41" s="472"/>
      <c r="Q41" s="472"/>
      <c r="R41" s="472"/>
      <c r="S41" s="472"/>
      <c r="T41" s="476"/>
      <c r="U41" s="476"/>
      <c r="V41" s="476"/>
      <c r="W41" s="476"/>
      <c r="X41" s="476"/>
      <c r="Y41" s="476"/>
      <c r="Z41" s="476"/>
      <c r="AA41" s="476"/>
      <c r="AB41" s="476"/>
      <c r="AC41" s="476"/>
      <c r="AD41" s="476"/>
      <c r="AE41" s="476"/>
      <c r="AF41" s="476"/>
      <c r="AG41" s="476"/>
      <c r="AH41" s="472"/>
      <c r="AI41" s="472"/>
      <c r="AJ41" s="472"/>
      <c r="AK41" s="472"/>
      <c r="AL41" s="472"/>
      <c r="AM41" s="472"/>
      <c r="AN41" s="472"/>
      <c r="AO41" s="421"/>
      <c r="AP41" s="409"/>
    </row>
    <row r="42" spans="1:42">
      <c r="A42" s="470"/>
      <c r="E42" s="474"/>
      <c r="F42" s="474"/>
      <c r="G42" s="406">
        <v>42767</v>
      </c>
      <c r="H42" s="406">
        <v>42856</v>
      </c>
      <c r="I42" s="406">
        <v>43009</v>
      </c>
      <c r="J42" s="406">
        <v>43132</v>
      </c>
      <c r="K42" s="285"/>
      <c r="L42" s="412"/>
      <c r="M42" s="413"/>
      <c r="N42" s="414"/>
      <c r="O42" s="415"/>
      <c r="P42" s="472"/>
      <c r="Q42" s="472"/>
      <c r="R42" s="472"/>
      <c r="S42" s="472"/>
      <c r="T42" s="476"/>
      <c r="U42" s="476"/>
      <c r="V42" s="476"/>
      <c r="W42" s="476"/>
      <c r="X42" s="476"/>
      <c r="Y42" s="476"/>
      <c r="Z42" s="476"/>
      <c r="AA42" s="476"/>
      <c r="AB42" s="476"/>
      <c r="AC42" s="476"/>
      <c r="AD42" s="476"/>
      <c r="AE42" s="476"/>
      <c r="AF42" s="476"/>
      <c r="AG42" s="476"/>
      <c r="AH42" s="472"/>
      <c r="AI42" s="472"/>
      <c r="AJ42" s="472"/>
      <c r="AK42" s="472"/>
      <c r="AL42" s="472"/>
      <c r="AM42" s="472"/>
      <c r="AN42" s="472"/>
      <c r="AO42" s="421"/>
      <c r="AP42" s="409"/>
    </row>
    <row r="43" spans="1:42">
      <c r="A43" s="409">
        <v>1530</v>
      </c>
      <c r="B43" s="249" t="s">
        <v>58</v>
      </c>
      <c r="C43" s="249" t="s">
        <v>442</v>
      </c>
      <c r="D43" s="474" t="s">
        <v>443</v>
      </c>
      <c r="E43" s="474"/>
      <c r="F43" s="474"/>
      <c r="G43" s="471"/>
      <c r="H43" s="471"/>
      <c r="I43" s="471"/>
      <c r="J43" s="471"/>
      <c r="K43" s="471"/>
      <c r="L43" s="412">
        <f>A43</f>
        <v>1530</v>
      </c>
      <c r="M43" s="413"/>
      <c r="N43" s="414"/>
      <c r="O43" s="415"/>
      <c r="P43" s="472">
        <f>G43+H43+I43+J43+L43+M43+N43+O43-E43-F43</f>
        <v>1530</v>
      </c>
      <c r="Q43" s="472"/>
      <c r="R43" s="472"/>
      <c r="S43" s="472"/>
      <c r="T43" s="476"/>
      <c r="U43" s="476"/>
      <c r="V43" s="476">
        <f>P43</f>
        <v>1530</v>
      </c>
      <c r="W43" s="476"/>
      <c r="X43" s="476"/>
      <c r="Y43" s="476"/>
      <c r="Z43" s="476"/>
      <c r="AA43" s="476"/>
      <c r="AB43" s="476"/>
      <c r="AC43" s="476"/>
      <c r="AD43" s="476"/>
      <c r="AE43" s="476"/>
      <c r="AF43" s="476"/>
      <c r="AG43" s="476"/>
      <c r="AH43" s="472"/>
      <c r="AI43" s="472"/>
      <c r="AJ43" s="472"/>
      <c r="AK43" s="472"/>
      <c r="AL43" s="472"/>
      <c r="AM43" s="472"/>
      <c r="AN43" s="472">
        <f t="shared" ref="AN43:AN50" si="6">AM43+AL43+AK43+AJ43+AI43+AH43+AG43+AF43+AE43+AD43+AC43+AB43+AA43+Z43+Y43+X43+W43+V43+U43+T43+S43+R43</f>
        <v>1530</v>
      </c>
      <c r="AO43" s="421"/>
      <c r="AP43" s="409"/>
    </row>
    <row r="44" spans="1:42">
      <c r="A44" s="409">
        <v>4050</v>
      </c>
      <c r="B44" s="249" t="s">
        <v>61</v>
      </c>
      <c r="C44" s="249" t="s">
        <v>60</v>
      </c>
      <c r="D44" s="474" t="s">
        <v>444</v>
      </c>
      <c r="E44" s="474"/>
      <c r="F44" s="474"/>
      <c r="G44" s="471"/>
      <c r="H44" s="471"/>
      <c r="I44" s="471"/>
      <c r="J44" s="471"/>
      <c r="K44" s="471"/>
      <c r="L44" s="412"/>
      <c r="M44" s="413">
        <f>A44</f>
        <v>4050</v>
      </c>
      <c r="N44" s="414"/>
      <c r="O44" s="415"/>
      <c r="P44" s="472">
        <f t="shared" ref="P44:P50" si="7">G44+H44+I44+J44+L44+M44+N44+O44-E44-F44</f>
        <v>4050</v>
      </c>
      <c r="Q44" s="472"/>
      <c r="R44" s="472"/>
      <c r="S44" s="472"/>
      <c r="T44" s="476"/>
      <c r="U44" s="476"/>
      <c r="V44" s="476">
        <f t="shared" ref="V44:V50" si="8">P44</f>
        <v>4050</v>
      </c>
      <c r="W44" s="476"/>
      <c r="X44" s="476"/>
      <c r="Y44" s="476"/>
      <c r="Z44" s="476"/>
      <c r="AA44" s="476"/>
      <c r="AB44" s="476"/>
      <c r="AC44" s="476"/>
      <c r="AD44" s="476"/>
      <c r="AE44" s="476"/>
      <c r="AF44" s="476"/>
      <c r="AG44" s="476"/>
      <c r="AH44" s="472"/>
      <c r="AI44" s="472"/>
      <c r="AJ44" s="472"/>
      <c r="AK44" s="472"/>
      <c r="AL44" s="472"/>
      <c r="AM44" s="472"/>
      <c r="AN44" s="472">
        <f t="shared" si="6"/>
        <v>4050</v>
      </c>
      <c r="AO44" s="421"/>
      <c r="AP44" s="409"/>
    </row>
    <row r="45" spans="1:42">
      <c r="A45" s="409">
        <v>8001</v>
      </c>
      <c r="B45" s="249" t="s">
        <v>48</v>
      </c>
      <c r="C45" s="249" t="s">
        <v>445</v>
      </c>
      <c r="D45" s="474" t="s">
        <v>446</v>
      </c>
      <c r="E45" s="474"/>
      <c r="F45" s="474"/>
      <c r="G45" s="471"/>
      <c r="H45" s="471"/>
      <c r="I45" s="471"/>
      <c r="J45" s="471"/>
      <c r="K45" s="471"/>
      <c r="L45" s="412">
        <f>A45</f>
        <v>8001</v>
      </c>
      <c r="M45" s="413"/>
      <c r="N45" s="414"/>
      <c r="O45" s="415"/>
      <c r="P45" s="472">
        <f t="shared" si="7"/>
        <v>8001</v>
      </c>
      <c r="Q45" s="472"/>
      <c r="R45" s="472"/>
      <c r="S45" s="472"/>
      <c r="T45" s="476"/>
      <c r="U45" s="476"/>
      <c r="V45" s="476">
        <f t="shared" si="8"/>
        <v>8001</v>
      </c>
      <c r="W45" s="476"/>
      <c r="X45" s="476"/>
      <c r="Y45" s="476"/>
      <c r="Z45" s="476"/>
      <c r="AA45" s="476"/>
      <c r="AB45" s="476"/>
      <c r="AC45" s="476"/>
      <c r="AD45" s="476"/>
      <c r="AE45" s="476"/>
      <c r="AF45" s="476"/>
      <c r="AG45" s="476"/>
      <c r="AH45" s="472"/>
      <c r="AI45" s="472"/>
      <c r="AJ45" s="472"/>
      <c r="AK45" s="472"/>
      <c r="AL45" s="472"/>
      <c r="AM45" s="472"/>
      <c r="AN45" s="472">
        <f t="shared" si="6"/>
        <v>8001</v>
      </c>
      <c r="AO45" s="421"/>
      <c r="AP45" s="409"/>
    </row>
    <row r="46" spans="1:42">
      <c r="A46" s="415"/>
      <c r="B46" s="252" t="s">
        <v>48</v>
      </c>
      <c r="C46" s="252" t="s">
        <v>447</v>
      </c>
      <c r="D46" s="475" t="s">
        <v>448</v>
      </c>
      <c r="E46" s="475"/>
      <c r="F46" s="474"/>
      <c r="G46" s="471"/>
      <c r="H46" s="471"/>
      <c r="I46" s="471"/>
      <c r="J46" s="471"/>
      <c r="K46" s="471"/>
      <c r="L46" s="412"/>
      <c r="M46" s="413"/>
      <c r="N46" s="414"/>
      <c r="O46" s="415"/>
      <c r="P46" s="472">
        <f t="shared" si="7"/>
        <v>0</v>
      </c>
      <c r="Q46" s="472"/>
      <c r="R46" s="472"/>
      <c r="S46" s="472"/>
      <c r="T46" s="476"/>
      <c r="U46" s="476"/>
      <c r="V46" s="476">
        <f t="shared" si="8"/>
        <v>0</v>
      </c>
      <c r="W46" s="476"/>
      <c r="X46" s="476"/>
      <c r="Y46" s="476"/>
      <c r="Z46" s="476"/>
      <c r="AA46" s="476"/>
      <c r="AB46" s="476"/>
      <c r="AC46" s="476"/>
      <c r="AD46" s="476"/>
      <c r="AE46" s="476"/>
      <c r="AF46" s="476"/>
      <c r="AG46" s="476"/>
      <c r="AH46" s="472"/>
      <c r="AI46" s="472"/>
      <c r="AJ46" s="472"/>
      <c r="AK46" s="472"/>
      <c r="AL46" s="472"/>
      <c r="AM46" s="472"/>
      <c r="AN46" s="472">
        <f t="shared" si="6"/>
        <v>0</v>
      </c>
      <c r="AO46" s="421"/>
      <c r="AP46" s="409"/>
    </row>
    <row r="47" spans="1:42">
      <c r="A47" s="415">
        <v>2394</v>
      </c>
      <c r="B47" s="252" t="s">
        <v>26</v>
      </c>
      <c r="C47" s="252" t="s">
        <v>449</v>
      </c>
      <c r="D47" s="475" t="s">
        <v>450</v>
      </c>
      <c r="E47" s="475"/>
      <c r="F47" s="474">
        <v>232</v>
      </c>
      <c r="G47" s="471"/>
      <c r="H47" s="471"/>
      <c r="I47" s="471"/>
      <c r="J47" s="471"/>
      <c r="K47" s="471"/>
      <c r="L47" s="412"/>
      <c r="M47" s="413"/>
      <c r="N47" s="414">
        <f>A47</f>
        <v>2394</v>
      </c>
      <c r="O47" s="415"/>
      <c r="P47" s="472">
        <f t="shared" si="7"/>
        <v>2162</v>
      </c>
      <c r="Q47" s="472"/>
      <c r="R47" s="472"/>
      <c r="S47" s="472"/>
      <c r="T47" s="476"/>
      <c r="U47" s="476"/>
      <c r="V47" s="476">
        <f>2394-232</f>
        <v>2162</v>
      </c>
      <c r="W47" s="476"/>
      <c r="X47" s="476"/>
      <c r="Y47" s="476"/>
      <c r="Z47" s="476"/>
      <c r="AA47" s="476"/>
      <c r="AB47" s="476"/>
      <c r="AC47" s="476"/>
      <c r="AD47" s="476"/>
      <c r="AE47" s="476"/>
      <c r="AF47" s="476"/>
      <c r="AG47" s="476"/>
      <c r="AH47" s="472"/>
      <c r="AI47" s="472"/>
      <c r="AJ47" s="472"/>
      <c r="AK47" s="472"/>
      <c r="AL47" s="472"/>
      <c r="AM47" s="472"/>
      <c r="AN47" s="472">
        <f t="shared" si="6"/>
        <v>2162</v>
      </c>
      <c r="AO47" s="421"/>
      <c r="AP47" s="409"/>
    </row>
    <row r="48" spans="1:42">
      <c r="A48" s="415">
        <v>39</v>
      </c>
      <c r="B48" s="252" t="s">
        <v>51</v>
      </c>
      <c r="C48" s="252" t="s">
        <v>451</v>
      </c>
      <c r="D48" s="475" t="s">
        <v>452</v>
      </c>
      <c r="E48" s="475">
        <v>39</v>
      </c>
      <c r="F48" s="474"/>
      <c r="G48" s="471"/>
      <c r="H48" s="471"/>
      <c r="I48" s="471"/>
      <c r="J48" s="471"/>
      <c r="K48" s="471"/>
      <c r="L48" s="412">
        <f>A48</f>
        <v>39</v>
      </c>
      <c r="M48" s="413"/>
      <c r="N48" s="414"/>
      <c r="O48" s="415"/>
      <c r="P48" s="472">
        <f t="shared" si="7"/>
        <v>0</v>
      </c>
      <c r="Q48" s="472"/>
      <c r="R48" s="472"/>
      <c r="S48" s="472"/>
      <c r="T48" s="476"/>
      <c r="U48" s="476"/>
      <c r="V48" s="476">
        <f t="shared" si="8"/>
        <v>0</v>
      </c>
      <c r="W48" s="476"/>
      <c r="X48" s="476"/>
      <c r="Y48" s="476"/>
      <c r="Z48" s="476"/>
      <c r="AA48" s="476"/>
      <c r="AB48" s="476"/>
      <c r="AC48" s="476"/>
      <c r="AD48" s="476"/>
      <c r="AE48" s="476"/>
      <c r="AF48" s="476"/>
      <c r="AG48" s="476"/>
      <c r="AH48" s="472"/>
      <c r="AI48" s="472"/>
      <c r="AJ48" s="472"/>
      <c r="AK48" s="472"/>
      <c r="AL48" s="472"/>
      <c r="AM48" s="472"/>
      <c r="AN48" s="472">
        <f t="shared" si="6"/>
        <v>0</v>
      </c>
      <c r="AO48" s="421"/>
      <c r="AP48" s="409"/>
    </row>
    <row r="49" spans="1:44">
      <c r="A49" s="415">
        <f>1065-39</f>
        <v>1026</v>
      </c>
      <c r="B49" s="252" t="s">
        <v>38</v>
      </c>
      <c r="C49" s="252" t="s">
        <v>453</v>
      </c>
      <c r="D49" s="252" t="s">
        <v>454</v>
      </c>
      <c r="E49" s="475"/>
      <c r="F49" s="474"/>
      <c r="G49" s="471"/>
      <c r="H49" s="471"/>
      <c r="I49" s="471"/>
      <c r="J49" s="471"/>
      <c r="K49" s="471"/>
      <c r="L49" s="412"/>
      <c r="M49" s="413"/>
      <c r="N49" s="414"/>
      <c r="O49" s="415">
        <f>A49</f>
        <v>1026</v>
      </c>
      <c r="P49" s="472">
        <f t="shared" si="7"/>
        <v>1026</v>
      </c>
      <c r="Q49" s="472"/>
      <c r="R49" s="472"/>
      <c r="S49" s="472"/>
      <c r="T49" s="476"/>
      <c r="U49" s="476"/>
      <c r="V49" s="476">
        <f t="shared" si="8"/>
        <v>1026</v>
      </c>
      <c r="W49" s="476"/>
      <c r="X49" s="476"/>
      <c r="Y49" s="476"/>
      <c r="Z49" s="476"/>
      <c r="AA49" s="476"/>
      <c r="AB49" s="476"/>
      <c r="AC49" s="476"/>
      <c r="AD49" s="476"/>
      <c r="AE49" s="476"/>
      <c r="AF49" s="476"/>
      <c r="AG49" s="476"/>
      <c r="AH49" s="472"/>
      <c r="AI49" s="472"/>
      <c r="AJ49" s="472"/>
      <c r="AK49" s="472"/>
      <c r="AL49" s="472"/>
      <c r="AM49" s="472"/>
      <c r="AN49" s="472">
        <f t="shared" si="6"/>
        <v>1026</v>
      </c>
      <c r="AO49" s="421"/>
      <c r="AP49" s="409"/>
    </row>
    <row r="50" spans="1:44">
      <c r="A50" s="415">
        <v>18935</v>
      </c>
      <c r="B50" s="252"/>
      <c r="C50" s="252"/>
      <c r="D50" s="475"/>
      <c r="E50" s="475"/>
      <c r="F50" s="474"/>
      <c r="G50" s="471"/>
      <c r="H50" s="471"/>
      <c r="I50" s="471"/>
      <c r="J50" s="471"/>
      <c r="K50" s="471"/>
      <c r="L50" s="412"/>
      <c r="M50" s="413">
        <f>A50</f>
        <v>18935</v>
      </c>
      <c r="N50" s="414"/>
      <c r="O50" s="415"/>
      <c r="P50" s="472">
        <f t="shared" si="7"/>
        <v>18935</v>
      </c>
      <c r="Q50" s="472"/>
      <c r="R50" s="472"/>
      <c r="S50" s="472"/>
      <c r="T50" s="476"/>
      <c r="U50" s="476"/>
      <c r="V50" s="476">
        <f t="shared" si="8"/>
        <v>18935</v>
      </c>
      <c r="W50" s="476"/>
      <c r="X50" s="476"/>
      <c r="Y50" s="476"/>
      <c r="Z50" s="476"/>
      <c r="AA50" s="476"/>
      <c r="AB50" s="476"/>
      <c r="AC50" s="476"/>
      <c r="AD50" s="476"/>
      <c r="AE50" s="476"/>
      <c r="AF50" s="476"/>
      <c r="AG50" s="476"/>
      <c r="AH50" s="472"/>
      <c r="AI50" s="472"/>
      <c r="AJ50" s="472"/>
      <c r="AK50" s="472"/>
      <c r="AL50" s="472"/>
      <c r="AM50" s="472"/>
      <c r="AN50" s="472">
        <f t="shared" si="6"/>
        <v>18935</v>
      </c>
      <c r="AO50" s="421"/>
      <c r="AP50" s="409"/>
    </row>
    <row r="51" spans="1:44" ht="13.5" thickBot="1">
      <c r="A51" s="437">
        <v>35975</v>
      </c>
      <c r="E51" s="437">
        <f>SUM(E43:E50)</f>
        <v>39</v>
      </c>
      <c r="F51" s="437">
        <f t="shared" ref="F51:K51" si="9">SUM(F43:F50)</f>
        <v>232</v>
      </c>
      <c r="G51" s="438">
        <f t="shared" si="9"/>
        <v>0</v>
      </c>
      <c r="H51" s="438">
        <f t="shared" si="9"/>
        <v>0</v>
      </c>
      <c r="I51" s="438">
        <f t="shared" si="9"/>
        <v>0</v>
      </c>
      <c r="J51" s="438">
        <f t="shared" si="9"/>
        <v>0</v>
      </c>
      <c r="K51" s="438">
        <f t="shared" si="9"/>
        <v>0</v>
      </c>
      <c r="L51" s="439">
        <f>SUM(L43:L50)</f>
        <v>9570</v>
      </c>
      <c r="M51" s="439">
        <f t="shared" ref="M51:O51" si="10">SUM(M43:M50)</f>
        <v>22985</v>
      </c>
      <c r="N51" s="439">
        <f t="shared" si="10"/>
        <v>2394</v>
      </c>
      <c r="O51" s="439">
        <f t="shared" si="10"/>
        <v>1026</v>
      </c>
      <c r="P51" s="477">
        <f>SUM(P43:P50)</f>
        <v>35704</v>
      </c>
      <c r="Q51" s="477"/>
      <c r="R51" s="477"/>
      <c r="S51" s="477"/>
      <c r="T51" s="477">
        <f>SUM(T43:T50)</f>
        <v>0</v>
      </c>
      <c r="U51" s="477">
        <f t="shared" ref="U51:AG51" si="11">SUM(U43:U50)</f>
        <v>0</v>
      </c>
      <c r="V51" s="477">
        <f t="shared" si="11"/>
        <v>35704</v>
      </c>
      <c r="W51" s="477">
        <f t="shared" si="11"/>
        <v>0</v>
      </c>
      <c r="X51" s="477">
        <f t="shared" si="11"/>
        <v>0</v>
      </c>
      <c r="Y51" s="477">
        <f t="shared" si="11"/>
        <v>0</v>
      </c>
      <c r="Z51" s="477">
        <f t="shared" si="11"/>
        <v>0</v>
      </c>
      <c r="AA51" s="477">
        <f t="shared" si="11"/>
        <v>0</v>
      </c>
      <c r="AB51" s="477">
        <f t="shared" si="11"/>
        <v>0</v>
      </c>
      <c r="AC51" s="477">
        <f t="shared" si="11"/>
        <v>0</v>
      </c>
      <c r="AD51" s="477">
        <f t="shared" si="11"/>
        <v>0</v>
      </c>
      <c r="AE51" s="477">
        <f t="shared" si="11"/>
        <v>0</v>
      </c>
      <c r="AF51" s="477">
        <f t="shared" si="11"/>
        <v>0</v>
      </c>
      <c r="AG51" s="477">
        <f t="shared" si="11"/>
        <v>0</v>
      </c>
      <c r="AH51" s="477"/>
      <c r="AI51" s="477"/>
      <c r="AJ51" s="477"/>
      <c r="AK51" s="477"/>
      <c r="AL51" s="477"/>
      <c r="AM51" s="477"/>
      <c r="AN51" s="477">
        <f>SUM(AN43:AN50)</f>
        <v>35704</v>
      </c>
      <c r="AO51" s="421"/>
      <c r="AP51" s="409"/>
    </row>
    <row r="52" spans="1:44" ht="13.5" thickTop="1">
      <c r="A52" s="470"/>
      <c r="E52" s="470"/>
      <c r="F52" s="470"/>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2"/>
      <c r="AK52" s="472"/>
      <c r="AL52" s="472"/>
      <c r="AM52" s="472"/>
      <c r="AN52" s="472"/>
      <c r="AO52" s="421"/>
      <c r="AP52" s="409"/>
    </row>
    <row r="53" spans="1:44">
      <c r="A53" s="409">
        <v>-53148</v>
      </c>
      <c r="B53" s="249" t="s">
        <v>455</v>
      </c>
      <c r="AN53" s="420"/>
      <c r="AO53" s="293"/>
    </row>
    <row r="54" spans="1:44" ht="13.5" thickBot="1">
      <c r="A54" s="437">
        <f>A38+A51+A53</f>
        <v>337415.1</v>
      </c>
      <c r="M54" s="409"/>
      <c r="P54" s="409"/>
      <c r="T54" s="409"/>
      <c r="AN54" s="420"/>
    </row>
    <row r="55" spans="1:44" ht="14.25" thickTop="1" thickBot="1">
      <c r="E55" s="409"/>
      <c r="T55" s="409"/>
      <c r="AN55" s="420"/>
      <c r="AR55" s="409"/>
    </row>
    <row r="56" spans="1:44" ht="13.5" thickBot="1">
      <c r="A56" s="247"/>
      <c r="B56" s="247"/>
      <c r="C56" s="487" t="s">
        <v>456</v>
      </c>
      <c r="D56" s="489" t="s">
        <v>457</v>
      </c>
      <c r="E56" s="490">
        <f>P51+E51+F51</f>
        <v>35975</v>
      </c>
      <c r="F56" s="351"/>
      <c r="G56" s="486"/>
      <c r="H56" s="490">
        <f>AN51+E51+F51</f>
        <v>35975</v>
      </c>
      <c r="I56" s="351"/>
      <c r="J56" s="351"/>
      <c r="K56" s="491">
        <f>E56-H56</f>
        <v>0</v>
      </c>
      <c r="AN56" s="420"/>
    </row>
    <row r="57" spans="1:44" ht="13.5" thickBot="1">
      <c r="C57" s="488" t="s">
        <v>458</v>
      </c>
      <c r="D57" s="444" t="s">
        <v>457</v>
      </c>
      <c r="E57" s="445">
        <f>P38+E38</f>
        <v>354588</v>
      </c>
      <c r="F57" s="351"/>
      <c r="G57" s="444" t="s">
        <v>457</v>
      </c>
      <c r="H57" s="445">
        <f>E38+AN38</f>
        <v>354588</v>
      </c>
      <c r="I57" s="351"/>
      <c r="J57" s="473"/>
      <c r="K57" s="478">
        <f>E57-H57</f>
        <v>0</v>
      </c>
      <c r="M57" s="409"/>
      <c r="T57" s="409"/>
      <c r="V57" s="409"/>
      <c r="AE57" s="409"/>
    </row>
    <row r="58" spans="1:44">
      <c r="F58" s="351"/>
      <c r="G58" s="351"/>
      <c r="H58" s="351"/>
      <c r="I58" s="351"/>
      <c r="J58" s="351"/>
      <c r="M58" s="409"/>
      <c r="P58" s="409"/>
      <c r="T58" s="409"/>
    </row>
    <row r="59" spans="1:44">
      <c r="F59" s="351"/>
      <c r="G59" s="351"/>
      <c r="H59" s="351"/>
      <c r="I59" s="351"/>
      <c r="J59" s="351"/>
      <c r="T59" s="409"/>
    </row>
    <row r="60" spans="1:44">
      <c r="F60" s="351"/>
      <c r="G60" s="351"/>
      <c r="H60" s="351"/>
      <c r="I60" s="351"/>
      <c r="J60" s="351"/>
      <c r="T60" s="409"/>
    </row>
    <row r="61" spans="1:44">
      <c r="F61" s="351"/>
      <c r="G61" s="351"/>
      <c r="H61" s="351"/>
      <c r="I61" s="351"/>
      <c r="J61" s="351"/>
    </row>
    <row r="62" spans="1:44">
      <c r="F62" s="351"/>
      <c r="G62" s="351"/>
      <c r="H62" s="351"/>
      <c r="I62" s="351"/>
      <c r="J62" s="351"/>
    </row>
    <row r="63" spans="1:44">
      <c r="F63" s="351"/>
      <c r="G63" s="351"/>
      <c r="H63" s="351"/>
      <c r="I63" s="351"/>
      <c r="J63" s="351"/>
      <c r="T63" s="409"/>
    </row>
    <row r="64" spans="1:44">
      <c r="F64" s="351"/>
      <c r="G64" s="351"/>
      <c r="H64" s="351"/>
      <c r="I64" s="351"/>
      <c r="J64" s="351"/>
    </row>
    <row r="65" spans="6:17">
      <c r="F65" s="351"/>
      <c r="G65" s="351"/>
      <c r="H65" s="351"/>
      <c r="I65" s="351"/>
      <c r="J65" s="351"/>
    </row>
    <row r="66" spans="6:17">
      <c r="F66" s="351"/>
      <c r="G66" s="351"/>
      <c r="H66" s="351"/>
      <c r="I66" s="351"/>
      <c r="J66" s="351"/>
    </row>
    <row r="67" spans="6:17">
      <c r="F67" s="351"/>
      <c r="G67" s="351"/>
      <c r="H67" s="351"/>
      <c r="I67" s="351"/>
      <c r="J67" s="351"/>
    </row>
    <row r="68" spans="6:17">
      <c r="F68" s="351"/>
      <c r="G68" s="351"/>
      <c r="H68" s="351"/>
      <c r="I68" s="351"/>
      <c r="J68" s="351"/>
    </row>
    <row r="69" spans="6:17">
      <c r="F69" s="351"/>
      <c r="G69" s="351"/>
      <c r="H69" s="351"/>
      <c r="I69" s="351"/>
      <c r="J69" s="351"/>
    </row>
    <row r="70" spans="6:17">
      <c r="F70" s="351"/>
      <c r="G70" s="351"/>
      <c r="H70" s="351"/>
      <c r="I70" s="351"/>
      <c r="J70" s="351"/>
    </row>
    <row r="71" spans="6:17">
      <c r="F71" s="351"/>
      <c r="G71" s="351"/>
      <c r="H71" s="351"/>
      <c r="I71" s="351"/>
      <c r="J71" s="351"/>
    </row>
    <row r="72" spans="6:17">
      <c r="F72" s="351"/>
      <c r="G72" s="351"/>
      <c r="H72" s="351"/>
      <c r="I72" s="351"/>
      <c r="J72" s="351"/>
    </row>
    <row r="73" spans="6:17">
      <c r="F73" s="351"/>
      <c r="G73" s="351"/>
      <c r="H73" s="351"/>
      <c r="I73" s="351"/>
      <c r="J73" s="351"/>
    </row>
    <row r="74" spans="6:17">
      <c r="F74" s="351"/>
      <c r="G74" s="351"/>
      <c r="H74" s="351"/>
      <c r="I74" s="351"/>
      <c r="J74" s="351"/>
    </row>
    <row r="75" spans="6:17">
      <c r="F75" s="351"/>
      <c r="G75" s="263"/>
      <c r="H75" s="263"/>
      <c r="I75" s="263"/>
      <c r="J75" s="263"/>
      <c r="L75" s="247"/>
      <c r="M75" s="247"/>
      <c r="N75" s="247"/>
      <c r="P75" s="247"/>
      <c r="Q75" s="247"/>
    </row>
    <row r="76" spans="6:17">
      <c r="F76" s="351"/>
      <c r="G76" s="351"/>
      <c r="H76" s="351"/>
      <c r="I76" s="351"/>
      <c r="J76" s="351"/>
    </row>
  </sheetData>
  <mergeCells count="4">
    <mergeCell ref="G2:J2"/>
    <mergeCell ref="S2:AD2"/>
    <mergeCell ref="AE2:AM2"/>
    <mergeCell ref="G41:J4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workbookViewId="0" xr3:uid="{9B253EF2-77E0-53E3-AE26-4D66ECD923F3}">
      <selection activeCell="A17" sqref="A17"/>
    </sheetView>
  </sheetViews>
  <sheetFormatPr defaultRowHeight="15"/>
  <cols>
    <col min="1" max="1" width="16" style="326" customWidth="1"/>
    <col min="2" max="2" width="64.85546875" style="326" customWidth="1"/>
    <col min="3" max="3" width="9.140625" style="326"/>
    <col min="4" max="4" width="14.7109375" style="326" customWidth="1"/>
    <col min="5" max="5" width="15.85546875" style="326" customWidth="1"/>
    <col min="6" max="6" width="17.42578125" style="326" customWidth="1"/>
    <col min="7" max="7" width="15" style="326" customWidth="1"/>
    <col min="8" max="8" width="2.5703125" style="326" customWidth="1"/>
    <col min="9" max="9" width="2.28515625" style="326" customWidth="1"/>
    <col min="10" max="10" width="53.5703125" style="326" customWidth="1"/>
    <col min="11" max="12" width="9.140625" style="326"/>
    <col min="13" max="13" width="75" style="326" customWidth="1"/>
    <col min="14" max="16384" width="9.140625" style="326"/>
  </cols>
  <sheetData>
    <row r="1" spans="1:19">
      <c r="B1" s="322" t="s">
        <v>459</v>
      </c>
      <c r="C1" s="364"/>
    </row>
    <row r="2" spans="1:19">
      <c r="B2" s="362" t="s">
        <v>460</v>
      </c>
    </row>
    <row r="3" spans="1:19" ht="29.25" customHeight="1">
      <c r="A3" s="382" t="s">
        <v>374</v>
      </c>
      <c r="B3" s="382" t="s">
        <v>8</v>
      </c>
      <c r="C3" s="380" t="s">
        <v>3</v>
      </c>
      <c r="D3" s="381" t="s">
        <v>461</v>
      </c>
      <c r="E3" s="381" t="s">
        <v>461</v>
      </c>
      <c r="F3" s="381" t="s">
        <v>461</v>
      </c>
      <c r="G3" s="454" t="s">
        <v>62</v>
      </c>
      <c r="J3" s="383" t="s">
        <v>180</v>
      </c>
      <c r="K3" s="384" t="s">
        <v>462</v>
      </c>
      <c r="L3" s="384" t="s">
        <v>463</v>
      </c>
      <c r="M3" s="383" t="s">
        <v>464</v>
      </c>
    </row>
    <row r="4" spans="1:19">
      <c r="A4" s="367"/>
      <c r="B4" s="374" t="s">
        <v>465</v>
      </c>
      <c r="C4" s="376"/>
      <c r="D4" s="376"/>
      <c r="E4" s="367"/>
      <c r="F4" s="367"/>
      <c r="G4" s="367"/>
      <c r="J4" s="378" t="s">
        <v>466</v>
      </c>
      <c r="K4" s="371">
        <v>35975</v>
      </c>
      <c r="L4" s="371"/>
      <c r="M4" s="378"/>
    </row>
    <row r="5" spans="1:19">
      <c r="A5" s="367"/>
      <c r="B5" s="373" t="s">
        <v>467</v>
      </c>
      <c r="C5" s="367"/>
      <c r="D5" s="370"/>
      <c r="E5" s="367"/>
      <c r="F5" s="367"/>
      <c r="G5" s="367"/>
      <c r="J5" s="378" t="s">
        <v>468</v>
      </c>
      <c r="K5" s="371"/>
      <c r="L5" s="371"/>
      <c r="M5" s="378" t="s">
        <v>469</v>
      </c>
    </row>
    <row r="6" spans="1:19">
      <c r="A6" s="455" t="s">
        <v>443</v>
      </c>
      <c r="B6" s="373" t="s">
        <v>442</v>
      </c>
      <c r="C6" s="368">
        <f>D6+E6+F6</f>
        <v>1530</v>
      </c>
      <c r="D6" s="370">
        <v>510</v>
      </c>
      <c r="E6" s="370">
        <v>510</v>
      </c>
      <c r="F6" s="370">
        <v>510</v>
      </c>
      <c r="G6" s="370"/>
      <c r="J6" s="378" t="s">
        <v>470</v>
      </c>
      <c r="K6" s="371"/>
      <c r="L6" s="371"/>
      <c r="M6" s="378" t="s">
        <v>471</v>
      </c>
    </row>
    <row r="7" spans="1:19">
      <c r="A7" s="455" t="s">
        <v>444</v>
      </c>
      <c r="B7" s="373" t="s">
        <v>472</v>
      </c>
      <c r="C7" s="368">
        <f t="shared" ref="C7:C12" si="0">D7+E7+F7</f>
        <v>4050</v>
      </c>
      <c r="D7" s="370">
        <v>1350</v>
      </c>
      <c r="E7" s="370">
        <v>1350</v>
      </c>
      <c r="F7" s="370">
        <v>1350</v>
      </c>
      <c r="G7" s="370"/>
      <c r="J7" s="367"/>
      <c r="K7" s="367"/>
      <c r="L7" s="371"/>
      <c r="M7" s="378"/>
    </row>
    <row r="8" spans="1:19">
      <c r="A8" s="455"/>
      <c r="B8" s="373" t="s">
        <v>60</v>
      </c>
      <c r="C8" s="368">
        <f t="shared" si="0"/>
        <v>0</v>
      </c>
      <c r="D8" s="370"/>
      <c r="E8" s="370"/>
      <c r="F8" s="370"/>
      <c r="G8" s="370"/>
      <c r="J8" s="367"/>
      <c r="K8" s="367"/>
      <c r="L8" s="367"/>
      <c r="M8" s="367" t="s">
        <v>473</v>
      </c>
    </row>
    <row r="9" spans="1:19">
      <c r="A9" s="455" t="s">
        <v>446</v>
      </c>
      <c r="B9" s="373" t="s">
        <v>445</v>
      </c>
      <c r="C9" s="368">
        <f t="shared" si="0"/>
        <v>8001</v>
      </c>
      <c r="D9" s="370">
        <v>2667</v>
      </c>
      <c r="E9" s="370">
        <v>2667</v>
      </c>
      <c r="F9" s="370">
        <v>2667</v>
      </c>
      <c r="G9" s="370"/>
      <c r="J9" s="367"/>
      <c r="K9" s="367"/>
      <c r="L9" s="367"/>
      <c r="M9" s="367" t="s">
        <v>474</v>
      </c>
      <c r="N9" s="450"/>
      <c r="O9" s="451"/>
      <c r="P9" s="451"/>
      <c r="Q9" s="451"/>
      <c r="R9" s="451"/>
      <c r="S9" s="451"/>
    </row>
    <row r="10" spans="1:19">
      <c r="A10" s="453" t="s">
        <v>448</v>
      </c>
      <c r="B10" s="465" t="s">
        <v>447</v>
      </c>
      <c r="C10" s="466">
        <f t="shared" si="0"/>
        <v>2394</v>
      </c>
      <c r="D10" s="467">
        <v>798</v>
      </c>
      <c r="E10" s="467">
        <v>798</v>
      </c>
      <c r="F10" s="467">
        <v>798</v>
      </c>
      <c r="G10" s="370"/>
      <c r="J10" s="367"/>
      <c r="K10" s="367"/>
      <c r="L10" s="367"/>
      <c r="M10" s="367" t="s">
        <v>475</v>
      </c>
      <c r="N10" s="452"/>
      <c r="O10" s="451"/>
      <c r="P10" s="451"/>
      <c r="Q10" s="451"/>
      <c r="R10" s="451"/>
      <c r="S10" s="451"/>
    </row>
    <row r="11" spans="1:19">
      <c r="A11" s="453" t="s">
        <v>450</v>
      </c>
      <c r="B11" s="465" t="s">
        <v>449</v>
      </c>
      <c r="C11" s="466"/>
      <c r="D11" s="467"/>
      <c r="E11" s="467"/>
      <c r="F11" s="467"/>
      <c r="G11" s="370"/>
      <c r="J11" s="367"/>
      <c r="K11" s="367"/>
      <c r="L11" s="367"/>
      <c r="M11" s="367" t="s">
        <v>135</v>
      </c>
      <c r="N11" s="452"/>
      <c r="O11" s="451"/>
      <c r="P11" s="451"/>
      <c r="Q11" s="451"/>
      <c r="R11" s="451"/>
      <c r="S11" s="451"/>
    </row>
    <row r="12" spans="1:19">
      <c r="A12" s="455"/>
      <c r="B12" s="374" t="s">
        <v>476</v>
      </c>
      <c r="C12" s="366">
        <f t="shared" si="0"/>
        <v>15975</v>
      </c>
      <c r="D12" s="366">
        <f>SUM(D5:D10)</f>
        <v>5325</v>
      </c>
      <c r="E12" s="366">
        <f>SUM(E5:E10)</f>
        <v>5325</v>
      </c>
      <c r="F12" s="366">
        <f>SUM(F5:F10)</f>
        <v>5325</v>
      </c>
      <c r="G12" s="366"/>
      <c r="J12" s="367"/>
      <c r="K12" s="367"/>
      <c r="L12" s="367"/>
      <c r="M12" s="367"/>
      <c r="N12" s="452"/>
      <c r="O12" s="451"/>
      <c r="P12" s="451"/>
      <c r="Q12" s="451"/>
      <c r="R12" s="451"/>
      <c r="S12" s="451"/>
    </row>
    <row r="13" spans="1:19">
      <c r="A13" s="326" t="s">
        <v>405</v>
      </c>
      <c r="B13" s="375" t="s">
        <v>453</v>
      </c>
      <c r="C13" s="368">
        <v>1065</v>
      </c>
      <c r="D13" s="367">
        <f>1065/3</f>
        <v>355</v>
      </c>
      <c r="E13" s="367">
        <f>1065/3</f>
        <v>355</v>
      </c>
      <c r="F13" s="367">
        <f>1065/3</f>
        <v>355</v>
      </c>
      <c r="G13" s="367"/>
      <c r="J13" s="468"/>
      <c r="K13" s="469"/>
      <c r="L13" s="469"/>
      <c r="M13" s="469"/>
      <c r="N13" s="452"/>
      <c r="O13" s="451"/>
      <c r="P13" s="451"/>
      <c r="Q13" s="451"/>
      <c r="R13" s="451"/>
      <c r="S13" s="451"/>
    </row>
    <row r="14" spans="1:19" ht="15.75" thickBot="1">
      <c r="A14" s="367"/>
      <c r="B14" s="374" t="s">
        <v>477</v>
      </c>
      <c r="C14" s="377">
        <f>D14+E14+F14+G14</f>
        <v>35975</v>
      </c>
      <c r="D14" s="377">
        <f>SUM(D12:D13)</f>
        <v>5680</v>
      </c>
      <c r="E14" s="377">
        <f>SUM(E12:E13)</f>
        <v>5680</v>
      </c>
      <c r="F14" s="377">
        <f>SUM(F12:F13)</f>
        <v>5680</v>
      </c>
      <c r="G14" s="377">
        <f>13610+5325</f>
        <v>18935</v>
      </c>
      <c r="J14" s="379" t="s">
        <v>476</v>
      </c>
      <c r="K14" s="372">
        <f>SUM(K4:K6)</f>
        <v>35975</v>
      </c>
      <c r="L14" s="469"/>
      <c r="M14" s="469"/>
      <c r="N14" s="452"/>
      <c r="O14" s="451"/>
      <c r="P14" s="451"/>
      <c r="Q14" s="451"/>
      <c r="R14" s="451"/>
      <c r="S14" s="451"/>
    </row>
    <row r="15" spans="1:19" ht="15.75" thickTop="1">
      <c r="H15" s="326" t="s">
        <v>478</v>
      </c>
      <c r="I15" s="369"/>
      <c r="J15" s="369"/>
    </row>
    <row r="16" spans="1:19">
      <c r="B16" s="326" t="s">
        <v>478</v>
      </c>
      <c r="C16" s="35"/>
    </row>
    <row r="17" spans="1:10">
      <c r="J17" s="451"/>
    </row>
    <row r="18" spans="1:10">
      <c r="A18" s="369"/>
      <c r="B18" s="363"/>
      <c r="C18" s="459"/>
      <c r="D18" s="463"/>
      <c r="E18" s="463"/>
      <c r="F18" s="463"/>
      <c r="G18" s="463"/>
      <c r="H18" s="463"/>
      <c r="I18"/>
      <c r="J18" s="459"/>
    </row>
    <row r="19" spans="1:10">
      <c r="A19" s="369"/>
      <c r="B19" t="s">
        <v>479</v>
      </c>
      <c r="C19" s="456"/>
      <c r="D19" s="363"/>
      <c r="E19" s="457"/>
      <c r="F19" s="457"/>
      <c r="G19" s="457"/>
      <c r="H19" s="457"/>
      <c r="I19"/>
      <c r="J19" s="464"/>
    </row>
    <row r="20" spans="1:10">
      <c r="A20" s="369"/>
      <c r="B20" t="s">
        <v>480</v>
      </c>
      <c r="C20" s="456"/>
      <c r="D20" s="458"/>
      <c r="E20" s="457"/>
      <c r="F20" s="457"/>
      <c r="G20" s="457"/>
      <c r="H20" s="457"/>
      <c r="I20"/>
      <c r="J20" s="451"/>
    </row>
    <row r="21" spans="1:10">
      <c r="A21" s="369"/>
      <c r="B21"/>
      <c r="C21" s="456"/>
      <c r="D21" s="458"/>
      <c r="E21" s="457"/>
      <c r="F21" s="457"/>
      <c r="G21" s="457"/>
      <c r="H21" s="457"/>
      <c r="I21"/>
      <c r="J21" s="451"/>
    </row>
    <row r="22" spans="1:10">
      <c r="A22" s="369"/>
      <c r="B22" t="s">
        <v>481</v>
      </c>
      <c r="C22" s="456"/>
      <c r="D22" s="458"/>
      <c r="E22" s="457"/>
      <c r="F22" s="457"/>
      <c r="G22" s="457"/>
      <c r="H22" s="457"/>
      <c r="I22"/>
      <c r="J22" s="451"/>
    </row>
    <row r="23" spans="1:10">
      <c r="A23" s="369"/>
      <c r="B23" t="s">
        <v>482</v>
      </c>
      <c r="C23" s="456"/>
      <c r="D23" s="458"/>
      <c r="E23" s="457"/>
      <c r="F23" s="457"/>
      <c r="G23" s="457"/>
      <c r="H23" s="457"/>
      <c r="I23"/>
      <c r="J23" s="451"/>
    </row>
    <row r="24" spans="1:10">
      <c r="A24" s="369"/>
      <c r="B24" s="363"/>
      <c r="C24" s="456"/>
      <c r="D24" s="458"/>
      <c r="E24" s="457"/>
      <c r="F24" s="457"/>
      <c r="G24" s="457"/>
      <c r="H24" s="457"/>
      <c r="I24"/>
      <c r="J24" s="464"/>
    </row>
    <row r="25" spans="1:10">
      <c r="A25" s="369"/>
      <c r="B25" s="363"/>
      <c r="C25" s="459"/>
      <c r="D25" s="460"/>
      <c r="E25" s="460"/>
      <c r="F25" s="460"/>
      <c r="G25" s="460"/>
      <c r="H25" s="460"/>
      <c r="I25"/>
      <c r="J25" s="464"/>
    </row>
    <row r="26" spans="1:10">
      <c r="A26" s="369"/>
      <c r="B26" s="363"/>
      <c r="C26" s="461"/>
      <c r="D26" s="458"/>
      <c r="E26" s="462"/>
      <c r="F26" s="462"/>
      <c r="G26" s="462"/>
      <c r="H26" s="462"/>
      <c r="I26"/>
      <c r="J26" s="464"/>
    </row>
    <row r="27" spans="1:10">
      <c r="A27" s="369"/>
      <c r="B27" s="363"/>
      <c r="C27" s="459"/>
      <c r="D27" s="460"/>
      <c r="E27" s="460"/>
      <c r="F27" s="460"/>
      <c r="G27" s="460"/>
      <c r="H27" s="460"/>
      <c r="I27"/>
      <c r="J27" s="464"/>
    </row>
    <row r="28" spans="1:10">
      <c r="A28" s="369"/>
      <c r="B28" s="369"/>
      <c r="C28" s="369"/>
      <c r="D28" s="369"/>
      <c r="E28" s="369"/>
      <c r="F28" s="369"/>
      <c r="G28" s="369"/>
      <c r="H28" s="369"/>
      <c r="J28" s="451"/>
    </row>
    <row r="29" spans="1:10">
      <c r="A29" s="369"/>
      <c r="B29" s="369"/>
      <c r="C29" s="369"/>
      <c r="D29" s="369"/>
      <c r="E29" s="369"/>
      <c r="F29" s="369"/>
      <c r="G29" s="369"/>
      <c r="H29" s="369"/>
      <c r="J29" s="451"/>
    </row>
    <row r="30" spans="1:10">
      <c r="A30" s="369"/>
      <c r="B30" s="369"/>
      <c r="C30" s="369"/>
      <c r="D30" s="369"/>
      <c r="E30" s="369"/>
      <c r="F30" s="369"/>
      <c r="G30" s="369"/>
      <c r="H30" s="369"/>
    </row>
  </sheetData>
  <pageMargins left="0.7" right="0.7" top="0.75" bottom="0.75" header="0.3" footer="0.3"/>
  <pageSetup paperSize="9" scale="85"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9"/>
  <sheetViews>
    <sheetView workbookViewId="0" xr3:uid="{85D5C41F-068E-5C55-9968-509E7C2A5619}">
      <pane ySplit="1" topLeftCell="A2" activePane="bottomLeft" state="frozen"/>
      <selection pane="bottomLeft" activeCell="A10" sqref="A10"/>
    </sheetView>
  </sheetViews>
  <sheetFormatPr defaultRowHeight="15"/>
  <cols>
    <col min="1" max="1" width="48.85546875" bestFit="1" customWidth="1"/>
    <col min="2" max="3" width="7.5703125" bestFit="1" customWidth="1"/>
    <col min="4" max="4" width="6.7109375" bestFit="1" customWidth="1"/>
    <col min="5" max="5" width="7" bestFit="1" customWidth="1"/>
    <col min="7" max="7" width="48.85546875" bestFit="1" customWidth="1"/>
    <col min="8" max="8" width="6.85546875" customWidth="1"/>
    <col min="9" max="9" width="7.5703125" bestFit="1" customWidth="1"/>
    <col min="10" max="10" width="6.85546875" customWidth="1"/>
    <col min="11" max="11" width="7" bestFit="1" customWidth="1"/>
    <col min="13" max="13" width="48.85546875" bestFit="1" customWidth="1"/>
    <col min="14" max="14" width="7" bestFit="1" customWidth="1"/>
    <col min="15" max="15" width="7.5703125" bestFit="1" customWidth="1"/>
    <col min="16" max="16" width="6.7109375" bestFit="1" customWidth="1"/>
    <col min="17" max="17" width="7" bestFit="1" customWidth="1"/>
  </cols>
  <sheetData>
    <row r="1" spans="1:17">
      <c r="A1" s="1" t="s">
        <v>63</v>
      </c>
      <c r="B1" s="28">
        <v>42767</v>
      </c>
      <c r="C1" s="28">
        <v>42856</v>
      </c>
      <c r="D1" s="28">
        <v>43009</v>
      </c>
      <c r="E1" s="28">
        <v>43132</v>
      </c>
      <c r="F1" s="28"/>
      <c r="G1" s="28" t="s">
        <v>105</v>
      </c>
      <c r="H1" s="28">
        <v>42767</v>
      </c>
      <c r="I1" s="28">
        <v>42856</v>
      </c>
      <c r="J1" s="28">
        <v>43009</v>
      </c>
      <c r="K1" s="28">
        <v>43132</v>
      </c>
      <c r="L1" s="28"/>
      <c r="M1" s="28" t="s">
        <v>99</v>
      </c>
      <c r="N1" s="28">
        <v>42767</v>
      </c>
      <c r="O1" s="28">
        <v>42856</v>
      </c>
      <c r="P1" s="28">
        <v>43009</v>
      </c>
      <c r="Q1" s="28">
        <v>43132</v>
      </c>
    </row>
    <row r="2" spans="1:17">
      <c r="A2" t="s">
        <v>98</v>
      </c>
      <c r="B2" s="34">
        <v>10</v>
      </c>
      <c r="C2" s="34">
        <v>10</v>
      </c>
      <c r="D2" s="34">
        <v>10</v>
      </c>
      <c r="E2" s="34">
        <v>8</v>
      </c>
      <c r="F2" s="34"/>
      <c r="G2" s="34" t="s">
        <v>98</v>
      </c>
      <c r="H2" s="34">
        <v>10</v>
      </c>
      <c r="I2" s="34">
        <v>10</v>
      </c>
      <c r="J2" s="34">
        <v>10</v>
      </c>
      <c r="K2" s="34">
        <v>8</v>
      </c>
      <c r="L2" s="34"/>
      <c r="M2" s="34" t="s">
        <v>98</v>
      </c>
      <c r="N2" s="34">
        <v>10</v>
      </c>
      <c r="O2" s="34">
        <v>10</v>
      </c>
      <c r="P2" s="34">
        <v>10</v>
      </c>
      <c r="Q2" s="34">
        <v>8</v>
      </c>
    </row>
    <row r="3" spans="1:17">
      <c r="B3" s="34"/>
      <c r="C3" s="34"/>
      <c r="D3" s="34"/>
      <c r="E3" s="34"/>
      <c r="F3" s="34"/>
      <c r="G3" s="34"/>
      <c r="H3" s="34"/>
      <c r="I3" s="34"/>
      <c r="J3" s="34"/>
      <c r="K3" s="34"/>
      <c r="L3" s="34"/>
      <c r="M3" s="34"/>
      <c r="N3" s="34"/>
      <c r="O3" s="34"/>
      <c r="P3" s="34"/>
      <c r="Q3" s="34"/>
    </row>
    <row r="4" spans="1:17">
      <c r="A4" t="s">
        <v>97</v>
      </c>
      <c r="B4" s="34">
        <v>7</v>
      </c>
      <c r="C4" s="34">
        <v>7</v>
      </c>
      <c r="D4" s="34">
        <v>7</v>
      </c>
      <c r="E4" s="34">
        <v>7</v>
      </c>
      <c r="F4" s="34"/>
      <c r="G4" s="34" t="s">
        <v>97</v>
      </c>
      <c r="H4" s="34">
        <v>7</v>
      </c>
      <c r="I4" s="34">
        <v>7</v>
      </c>
      <c r="J4" s="34">
        <v>7</v>
      </c>
      <c r="K4" s="34">
        <v>7</v>
      </c>
      <c r="L4" s="34"/>
      <c r="M4" s="34" t="s">
        <v>97</v>
      </c>
      <c r="N4" s="34">
        <v>7</v>
      </c>
      <c r="O4" s="34">
        <v>7</v>
      </c>
      <c r="P4" s="34">
        <v>7</v>
      </c>
      <c r="Q4" s="34">
        <v>7</v>
      </c>
    </row>
    <row r="5" spans="1:17">
      <c r="A5" t="s">
        <v>483</v>
      </c>
      <c r="B5" s="34">
        <v>7</v>
      </c>
      <c r="C5" s="34">
        <v>7</v>
      </c>
      <c r="D5" s="34">
        <v>7</v>
      </c>
      <c r="E5" s="34">
        <v>7</v>
      </c>
      <c r="F5" s="34"/>
      <c r="G5" s="34" t="s">
        <v>483</v>
      </c>
      <c r="H5" s="34">
        <v>7</v>
      </c>
      <c r="I5" s="34">
        <v>7</v>
      </c>
      <c r="J5" s="34">
        <v>7</v>
      </c>
      <c r="K5" s="34">
        <v>7</v>
      </c>
      <c r="L5" s="34"/>
      <c r="M5" s="34" t="s">
        <v>483</v>
      </c>
      <c r="N5" s="34">
        <v>7</v>
      </c>
      <c r="O5" s="34">
        <v>7</v>
      </c>
      <c r="P5" s="34">
        <v>7</v>
      </c>
      <c r="Q5" s="34">
        <v>7</v>
      </c>
    </row>
    <row r="6" spans="1:17">
      <c r="A6" t="s">
        <v>484</v>
      </c>
      <c r="B6" s="34">
        <v>350</v>
      </c>
      <c r="C6" s="34">
        <v>350</v>
      </c>
      <c r="D6" s="34">
        <v>350</v>
      </c>
      <c r="E6" s="34">
        <v>175</v>
      </c>
      <c r="F6" s="34"/>
      <c r="G6" s="34" t="s">
        <v>484</v>
      </c>
      <c r="H6" s="34">
        <v>350</v>
      </c>
      <c r="I6" s="34">
        <v>350</v>
      </c>
      <c r="J6" s="34">
        <v>350</v>
      </c>
      <c r="K6" s="34">
        <v>175</v>
      </c>
      <c r="L6" s="34"/>
      <c r="M6" s="34" t="s">
        <v>484</v>
      </c>
      <c r="N6" s="34">
        <v>350</v>
      </c>
      <c r="O6" s="34">
        <v>350</v>
      </c>
      <c r="P6" s="34">
        <v>350</v>
      </c>
      <c r="Q6" s="34">
        <v>175</v>
      </c>
    </row>
    <row r="7" spans="1:17">
      <c r="A7" t="s">
        <v>485</v>
      </c>
      <c r="B7" s="34">
        <v>700</v>
      </c>
      <c r="C7" s="34">
        <v>700</v>
      </c>
      <c r="D7" s="34">
        <v>700</v>
      </c>
      <c r="E7" s="34">
        <v>700</v>
      </c>
      <c r="F7" s="34"/>
      <c r="G7" s="34" t="s">
        <v>485</v>
      </c>
      <c r="H7" s="34">
        <v>700</v>
      </c>
      <c r="I7" s="34">
        <v>700</v>
      </c>
      <c r="J7" s="34">
        <v>700</v>
      </c>
      <c r="K7" s="34">
        <v>700</v>
      </c>
      <c r="L7" s="34"/>
      <c r="M7" s="34" t="s">
        <v>485</v>
      </c>
      <c r="N7" s="34">
        <v>700</v>
      </c>
      <c r="O7" s="34">
        <v>700</v>
      </c>
      <c r="P7" s="34">
        <v>700</v>
      </c>
      <c r="Q7" s="34">
        <v>700</v>
      </c>
    </row>
    <row r="8" spans="1:17">
      <c r="A8" t="s">
        <v>486</v>
      </c>
      <c r="B8" s="34">
        <v>85</v>
      </c>
      <c r="C8" s="34">
        <v>85</v>
      </c>
      <c r="D8" s="34">
        <v>85</v>
      </c>
      <c r="E8" s="34">
        <v>85</v>
      </c>
      <c r="F8" s="34"/>
      <c r="G8" s="34" t="s">
        <v>486</v>
      </c>
      <c r="H8" s="34">
        <v>85</v>
      </c>
      <c r="I8" s="34">
        <v>85</v>
      </c>
      <c r="J8" s="34">
        <v>85</v>
      </c>
      <c r="K8" s="34">
        <v>85</v>
      </c>
      <c r="L8" s="34"/>
      <c r="M8" s="34" t="s">
        <v>486</v>
      </c>
      <c r="N8" s="34">
        <v>85</v>
      </c>
      <c r="O8" s="34">
        <v>85</v>
      </c>
      <c r="P8" s="34">
        <v>85</v>
      </c>
      <c r="Q8" s="34">
        <v>85</v>
      </c>
    </row>
    <row r="9" spans="1:17">
      <c r="A9" t="s">
        <v>487</v>
      </c>
      <c r="B9" s="34">
        <v>71</v>
      </c>
      <c r="C9" s="34">
        <v>71</v>
      </c>
      <c r="D9" s="34">
        <v>71</v>
      </c>
      <c r="E9" s="34">
        <v>35</v>
      </c>
      <c r="F9" s="34"/>
      <c r="G9" s="34" t="s">
        <v>487</v>
      </c>
      <c r="H9" s="34">
        <v>71</v>
      </c>
      <c r="I9" s="34">
        <v>71</v>
      </c>
      <c r="J9" s="34">
        <v>71</v>
      </c>
      <c r="K9" s="34">
        <v>35</v>
      </c>
      <c r="L9" s="34"/>
      <c r="M9" s="34" t="s">
        <v>487</v>
      </c>
      <c r="N9" s="34">
        <v>71</v>
      </c>
      <c r="O9" s="34">
        <v>71</v>
      </c>
      <c r="P9" s="34">
        <v>71</v>
      </c>
      <c r="Q9" s="34">
        <v>35</v>
      </c>
    </row>
    <row r="10" spans="1:17">
      <c r="B10" s="34"/>
      <c r="C10" s="34"/>
      <c r="D10" s="34"/>
      <c r="E10" s="34"/>
      <c r="F10" s="34"/>
      <c r="G10" s="34"/>
      <c r="H10" s="34"/>
      <c r="I10" s="34"/>
      <c r="J10" s="34"/>
      <c r="K10" s="34"/>
      <c r="L10" s="34"/>
      <c r="M10" s="34"/>
      <c r="N10" s="34"/>
      <c r="O10" s="34"/>
      <c r="P10" s="34"/>
      <c r="Q10" s="34"/>
    </row>
    <row r="11" spans="1:17">
      <c r="A11" t="s">
        <v>488</v>
      </c>
      <c r="B11" s="34"/>
      <c r="C11" s="34"/>
      <c r="D11" s="34"/>
      <c r="E11" s="34"/>
      <c r="F11" s="34"/>
      <c r="G11" s="34" t="s">
        <v>488</v>
      </c>
      <c r="H11" s="34"/>
      <c r="I11" s="34"/>
      <c r="J11" s="34"/>
      <c r="K11" s="34"/>
      <c r="L11" s="34"/>
      <c r="M11" s="34" t="s">
        <v>488</v>
      </c>
      <c r="N11" s="34"/>
      <c r="O11" s="34"/>
      <c r="P11" s="34"/>
      <c r="Q11" s="34"/>
    </row>
    <row r="12" spans="1:17">
      <c r="A12" t="s">
        <v>489</v>
      </c>
      <c r="B12" s="34">
        <v>20</v>
      </c>
      <c r="C12" s="34">
        <v>20</v>
      </c>
      <c r="D12" s="34">
        <v>20</v>
      </c>
      <c r="E12" s="34">
        <v>20</v>
      </c>
      <c r="F12" s="34"/>
      <c r="G12" s="34" t="s">
        <v>489</v>
      </c>
      <c r="H12" s="34">
        <v>20</v>
      </c>
      <c r="I12" s="34">
        <v>20</v>
      </c>
      <c r="J12" s="34">
        <v>20</v>
      </c>
      <c r="K12" s="34">
        <v>20</v>
      </c>
      <c r="L12" s="34"/>
      <c r="M12" s="34" t="s">
        <v>489</v>
      </c>
      <c r="N12" s="34">
        <v>20</v>
      </c>
      <c r="O12" s="34">
        <v>20</v>
      </c>
      <c r="P12" s="34">
        <v>20</v>
      </c>
      <c r="Q12" s="34">
        <v>20</v>
      </c>
    </row>
    <row r="13" spans="1:17">
      <c r="A13" t="s">
        <v>490</v>
      </c>
      <c r="B13" s="35">
        <v>8</v>
      </c>
      <c r="C13" s="35">
        <v>8</v>
      </c>
      <c r="D13" s="35">
        <v>8</v>
      </c>
      <c r="E13" s="35">
        <v>8</v>
      </c>
      <c r="F13" s="34"/>
      <c r="G13" s="34" t="s">
        <v>490</v>
      </c>
      <c r="H13" s="35">
        <v>8</v>
      </c>
      <c r="I13" s="35">
        <v>8</v>
      </c>
      <c r="J13" s="35">
        <v>8</v>
      </c>
      <c r="K13" s="35">
        <v>8</v>
      </c>
      <c r="L13" s="34"/>
      <c r="M13" s="34" t="s">
        <v>490</v>
      </c>
      <c r="N13" s="35">
        <v>8</v>
      </c>
      <c r="O13" s="35">
        <v>8</v>
      </c>
      <c r="P13" s="35">
        <v>8</v>
      </c>
      <c r="Q13" s="35">
        <v>8</v>
      </c>
    </row>
    <row r="14" spans="1:17">
      <c r="B14" s="34"/>
      <c r="C14" s="34"/>
      <c r="D14" s="34"/>
      <c r="E14" s="34"/>
      <c r="F14" s="34"/>
      <c r="G14" s="34"/>
      <c r="H14" s="34"/>
      <c r="I14" s="34"/>
      <c r="J14" s="34"/>
      <c r="K14" s="34"/>
      <c r="L14" s="34"/>
      <c r="M14" s="34"/>
      <c r="N14" s="34"/>
      <c r="O14" s="34"/>
      <c r="P14" s="34"/>
      <c r="Q14" s="34"/>
    </row>
    <row r="15" spans="1:17">
      <c r="A15" s="27" t="s">
        <v>491</v>
      </c>
      <c r="B15" s="36">
        <f>+(B12*B13*B2)+(B9*B4)+(B8*B4)+(B7*B2)+(B5*B6)</f>
        <v>12142</v>
      </c>
      <c r="C15" s="36">
        <f>+(C12*C13*C2)+(C9*C4)+(C8*C4)+(C7*C2)+(C5*C6)</f>
        <v>12142</v>
      </c>
      <c r="D15" s="36">
        <f>+(D12*D13*D2)+(D9*D4)+(D8*D4)+(D7*D2)+(D5*D6)</f>
        <v>12142</v>
      </c>
      <c r="E15" s="36">
        <f>+(E12*E13*E2)+(E9*E4)+(E8*E4)+(E7*E2)+(E5*E6)</f>
        <v>8945</v>
      </c>
      <c r="F15" s="34"/>
      <c r="G15" s="36" t="s">
        <v>491</v>
      </c>
      <c r="H15" s="36">
        <f>+(H12*H13*H2)+(H9*H4)+(H8*H4)+(H7*H2)+(H5*H6)</f>
        <v>12142</v>
      </c>
      <c r="I15" s="36">
        <f>+(I12*I13*I2)+(I9*I4)+(I8*I4)+(I7*I2)+(I5*I6)</f>
        <v>12142</v>
      </c>
      <c r="J15" s="36">
        <f>+(J12*J13*J2)+(J9*J4)+(J8*J4)+(J7*J2)+(J5*J6)</f>
        <v>12142</v>
      </c>
      <c r="K15" s="36">
        <f>+(K12*K13*K2)+(K9*K4)+(K8*K4)+(K7*K2)+(K5*K6)</f>
        <v>8945</v>
      </c>
      <c r="L15" s="34"/>
      <c r="M15" s="36" t="s">
        <v>491</v>
      </c>
      <c r="N15" s="36">
        <f>+(N12*N13*N2)+(N9*N4)+(N8*N4)+(N7*N2)+(N5*N6)</f>
        <v>12142</v>
      </c>
      <c r="O15" s="36">
        <f>+(O12*O13*O2)+(O9*O4)+(O8*O4)+(O7*O2)+(O5*O6)</f>
        <v>12142</v>
      </c>
      <c r="P15" s="36">
        <f>+(P12*P13*P2)+(P9*P4)+(P8*P4)+(P7*P2)+(P5*P6)</f>
        <v>12142</v>
      </c>
      <c r="Q15" s="36">
        <f>+(Q12*Q13*Q2)+(Q9*Q4)+(Q8*Q4)+(Q7*Q2)+(Q5*Q6)</f>
        <v>8945</v>
      </c>
    </row>
    <row r="16" spans="1:17">
      <c r="B16" s="34"/>
      <c r="C16" s="34"/>
      <c r="D16" s="34"/>
      <c r="E16" s="34"/>
      <c r="F16" s="34"/>
      <c r="G16" s="34"/>
      <c r="H16" s="34"/>
      <c r="I16" s="34"/>
      <c r="J16" s="34"/>
      <c r="K16" s="34"/>
      <c r="L16" s="34"/>
      <c r="M16" s="34"/>
      <c r="N16" s="34"/>
      <c r="O16" s="34"/>
      <c r="P16" s="34"/>
      <c r="Q16" s="34"/>
    </row>
    <row r="17" spans="1:17">
      <c r="A17" s="25" t="s">
        <v>492</v>
      </c>
      <c r="B17" s="34"/>
      <c r="C17" s="34"/>
      <c r="D17" s="34"/>
      <c r="E17" s="34"/>
      <c r="F17" s="34"/>
      <c r="G17" s="25" t="s">
        <v>492</v>
      </c>
      <c r="H17" s="34"/>
      <c r="I17" s="34"/>
      <c r="J17" s="34"/>
      <c r="K17" s="34"/>
      <c r="L17" s="34"/>
      <c r="M17" s="25" t="s">
        <v>492</v>
      </c>
      <c r="N17" s="34"/>
      <c r="O17" s="34"/>
      <c r="P17" s="34"/>
      <c r="Q17" s="34"/>
    </row>
    <row r="18" spans="1:17">
      <c r="A18" s="2" t="s">
        <v>411</v>
      </c>
      <c r="B18" s="34">
        <v>150</v>
      </c>
      <c r="C18" s="34">
        <v>150</v>
      </c>
      <c r="D18" s="34">
        <v>150</v>
      </c>
      <c r="E18" s="34">
        <v>150</v>
      </c>
      <c r="F18" s="34"/>
      <c r="G18" s="2" t="s">
        <v>411</v>
      </c>
      <c r="H18" s="34">
        <v>150</v>
      </c>
      <c r="I18" s="34">
        <v>150</v>
      </c>
      <c r="J18" s="34">
        <v>150</v>
      </c>
      <c r="K18" s="34">
        <v>150</v>
      </c>
      <c r="L18" s="34"/>
      <c r="M18" s="2" t="s">
        <v>411</v>
      </c>
      <c r="N18" s="34">
        <v>150</v>
      </c>
      <c r="O18" s="34">
        <v>150</v>
      </c>
      <c r="P18" s="34">
        <v>150</v>
      </c>
      <c r="Q18" s="34">
        <v>150</v>
      </c>
    </row>
    <row r="19" spans="1:17">
      <c r="A19" s="41" t="s">
        <v>493</v>
      </c>
      <c r="B19" s="34">
        <v>12</v>
      </c>
      <c r="C19" s="34">
        <v>12</v>
      </c>
      <c r="D19" s="34">
        <v>12</v>
      </c>
      <c r="E19" s="34">
        <v>12</v>
      </c>
      <c r="F19" s="34"/>
      <c r="G19" s="41" t="s">
        <v>493</v>
      </c>
      <c r="H19" s="34">
        <v>12</v>
      </c>
      <c r="I19" s="34">
        <v>12</v>
      </c>
      <c r="J19" s="34">
        <v>12</v>
      </c>
      <c r="K19" s="34">
        <v>12</v>
      </c>
      <c r="L19" s="34"/>
      <c r="M19" s="41" t="s">
        <v>493</v>
      </c>
      <c r="N19" s="34">
        <v>12</v>
      </c>
      <c r="O19" s="34">
        <v>12</v>
      </c>
      <c r="P19" s="34">
        <v>12</v>
      </c>
      <c r="Q19" s="34">
        <v>12</v>
      </c>
    </row>
    <row r="20" spans="1:17">
      <c r="A20" s="2" t="s">
        <v>494</v>
      </c>
      <c r="B20" s="34">
        <v>50</v>
      </c>
      <c r="C20" s="34">
        <v>50</v>
      </c>
      <c r="D20" s="34">
        <v>50</v>
      </c>
      <c r="E20" s="34">
        <v>50</v>
      </c>
      <c r="F20" s="34"/>
      <c r="G20" s="2" t="s">
        <v>494</v>
      </c>
      <c r="H20" s="34">
        <v>50</v>
      </c>
      <c r="I20" s="34">
        <v>50</v>
      </c>
      <c r="J20" s="34">
        <v>50</v>
      </c>
      <c r="K20" s="34">
        <v>50</v>
      </c>
      <c r="L20" s="34"/>
      <c r="M20" s="2" t="s">
        <v>494</v>
      </c>
      <c r="N20" s="34">
        <v>50</v>
      </c>
      <c r="O20" s="34">
        <v>50</v>
      </c>
      <c r="P20" s="34">
        <v>50</v>
      </c>
      <c r="Q20" s="34">
        <v>50</v>
      </c>
    </row>
    <row r="21" spans="1:17">
      <c r="A21" s="41" t="s">
        <v>495</v>
      </c>
      <c r="B21" s="34">
        <v>12</v>
      </c>
      <c r="C21" s="34">
        <v>12</v>
      </c>
      <c r="D21" s="34">
        <v>12</v>
      </c>
      <c r="E21" s="34">
        <v>12</v>
      </c>
      <c r="F21" s="34"/>
      <c r="G21" s="41" t="s">
        <v>495</v>
      </c>
      <c r="H21" s="34">
        <v>12</v>
      </c>
      <c r="I21" s="34">
        <v>12</v>
      </c>
      <c r="J21" s="34">
        <v>12</v>
      </c>
      <c r="K21" s="34">
        <v>12</v>
      </c>
      <c r="L21" s="34"/>
      <c r="M21" s="41" t="s">
        <v>495</v>
      </c>
      <c r="N21" s="34">
        <v>12</v>
      </c>
      <c r="O21" s="34">
        <v>12</v>
      </c>
      <c r="P21" s="34">
        <v>12</v>
      </c>
      <c r="Q21" s="34">
        <v>12</v>
      </c>
    </row>
    <row r="22" spans="1:17">
      <c r="A22" t="s">
        <v>228</v>
      </c>
      <c r="B22" s="34">
        <v>120</v>
      </c>
      <c r="C22" s="34">
        <v>120</v>
      </c>
      <c r="D22" s="34">
        <v>120</v>
      </c>
      <c r="E22" s="34">
        <v>120</v>
      </c>
      <c r="F22" s="34"/>
      <c r="G22" t="s">
        <v>228</v>
      </c>
      <c r="H22" s="34">
        <v>120</v>
      </c>
      <c r="I22" s="34">
        <v>120</v>
      </c>
      <c r="J22" s="34">
        <v>120</v>
      </c>
      <c r="K22" s="34">
        <v>120</v>
      </c>
      <c r="L22" s="34"/>
      <c r="M22" t="s">
        <v>228</v>
      </c>
      <c r="N22" s="34">
        <v>120</v>
      </c>
      <c r="O22" s="34">
        <v>120</v>
      </c>
      <c r="P22" s="34">
        <v>120</v>
      </c>
      <c r="Q22" s="34">
        <v>120</v>
      </c>
    </row>
    <row r="23" spans="1:17">
      <c r="A23" t="s">
        <v>496</v>
      </c>
      <c r="B23" s="34">
        <v>2</v>
      </c>
      <c r="C23" s="34">
        <v>2</v>
      </c>
      <c r="D23" s="34">
        <v>2</v>
      </c>
      <c r="E23" s="34">
        <v>2</v>
      </c>
      <c r="F23" s="34"/>
      <c r="G23" t="s">
        <v>496</v>
      </c>
      <c r="H23" s="34">
        <v>2</v>
      </c>
      <c r="I23" s="34">
        <v>2</v>
      </c>
      <c r="J23" s="34">
        <v>2</v>
      </c>
      <c r="K23" s="34">
        <v>2</v>
      </c>
      <c r="L23" s="34"/>
      <c r="M23" t="s">
        <v>496</v>
      </c>
      <c r="N23" s="34">
        <v>2</v>
      </c>
      <c r="O23" s="34">
        <v>2</v>
      </c>
      <c r="P23" s="34">
        <v>2</v>
      </c>
      <c r="Q23" s="34">
        <v>2</v>
      </c>
    </row>
    <row r="24" spans="1:17">
      <c r="A24" t="s">
        <v>497</v>
      </c>
      <c r="B24" s="34">
        <v>80</v>
      </c>
      <c r="C24" s="34">
        <v>80</v>
      </c>
      <c r="D24" s="34">
        <v>80</v>
      </c>
      <c r="E24" s="34">
        <v>80</v>
      </c>
      <c r="F24" s="34"/>
      <c r="G24" t="s">
        <v>497</v>
      </c>
      <c r="H24" s="34">
        <v>80</v>
      </c>
      <c r="I24" s="34">
        <v>80</v>
      </c>
      <c r="J24" s="34">
        <v>80</v>
      </c>
      <c r="K24" s="34">
        <v>80</v>
      </c>
      <c r="L24" s="34"/>
      <c r="M24" t="s">
        <v>497</v>
      </c>
      <c r="N24" s="34">
        <v>80</v>
      </c>
      <c r="O24" s="34">
        <v>80</v>
      </c>
      <c r="P24" s="34">
        <v>80</v>
      </c>
      <c r="Q24" s="34">
        <v>80</v>
      </c>
    </row>
    <row r="25" spans="1:17">
      <c r="A25" t="s">
        <v>498</v>
      </c>
      <c r="B25" s="34">
        <v>40</v>
      </c>
      <c r="C25" s="34">
        <v>40</v>
      </c>
      <c r="D25" s="34">
        <v>40</v>
      </c>
      <c r="E25" s="34">
        <v>40</v>
      </c>
      <c r="F25" s="34"/>
      <c r="G25" t="s">
        <v>498</v>
      </c>
      <c r="H25" s="34">
        <v>40</v>
      </c>
      <c r="I25" s="34">
        <v>40</v>
      </c>
      <c r="J25" s="34">
        <v>40</v>
      </c>
      <c r="K25" s="34">
        <v>40</v>
      </c>
      <c r="L25" s="34"/>
      <c r="M25" t="s">
        <v>498</v>
      </c>
      <c r="N25" s="34">
        <v>40</v>
      </c>
      <c r="O25" s="34">
        <v>40</v>
      </c>
      <c r="P25" s="34">
        <v>40</v>
      </c>
      <c r="Q25" s="34">
        <v>40</v>
      </c>
    </row>
    <row r="26" spans="1:17">
      <c r="A26" t="s">
        <v>496</v>
      </c>
      <c r="B26" s="34">
        <v>2</v>
      </c>
      <c r="C26" s="34">
        <v>2</v>
      </c>
      <c r="D26" s="34">
        <v>2</v>
      </c>
      <c r="E26" s="34">
        <v>2</v>
      </c>
      <c r="F26" s="34"/>
      <c r="G26" t="s">
        <v>496</v>
      </c>
      <c r="H26" s="34">
        <v>2</v>
      </c>
      <c r="I26" s="34">
        <v>2</v>
      </c>
      <c r="J26" s="34">
        <v>2</v>
      </c>
      <c r="K26" s="34">
        <v>2</v>
      </c>
      <c r="L26" s="34"/>
      <c r="M26" t="s">
        <v>496</v>
      </c>
      <c r="N26" s="34">
        <v>2</v>
      </c>
      <c r="O26" s="34">
        <v>2</v>
      </c>
      <c r="P26" s="34">
        <v>2</v>
      </c>
      <c r="Q26" s="34">
        <v>2</v>
      </c>
    </row>
    <row r="27" spans="1:17">
      <c r="B27" s="34"/>
      <c r="C27" s="34"/>
      <c r="D27" s="34"/>
      <c r="E27" s="34"/>
      <c r="F27" s="34"/>
      <c r="H27" s="34"/>
      <c r="I27" s="34"/>
      <c r="J27" s="34"/>
      <c r="K27" s="34"/>
      <c r="L27" s="34"/>
      <c r="N27" s="34"/>
      <c r="O27" s="34"/>
      <c r="P27" s="34"/>
      <c r="Q27" s="34"/>
    </row>
    <row r="28" spans="1:17">
      <c r="A28" s="27" t="s">
        <v>499</v>
      </c>
      <c r="B28" s="36">
        <f>+(B18*B19)+(B20*B21)+((B23*B2)*B22)+(B24*B2)+((B26*B2)*B25)</f>
        <v>6400</v>
      </c>
      <c r="C28" s="36">
        <f>+(C18*C19)+(C20*C21)+((C23*C2)*C22)+(C24*C2)+((C26*C2)*C25)</f>
        <v>6400</v>
      </c>
      <c r="D28" s="36">
        <f>+(D18*D19)+(D20*D21)+((D23*D2)*D22)+(D24*D2)+((D26*D2)*D25)</f>
        <v>6400</v>
      </c>
      <c r="E28" s="36">
        <f>+(E18*E19)+(E20*E21)+((E23*E2)*E22)+(E24*E2)+((E26*E2)*E25)</f>
        <v>5600</v>
      </c>
      <c r="F28" s="34"/>
      <c r="G28" s="27" t="s">
        <v>499</v>
      </c>
      <c r="H28" s="36">
        <f>+(H18*H19)+(H20*H21)+((H23*H2)*H22)+(H24*H2)+((H26*H2)*H25)</f>
        <v>6400</v>
      </c>
      <c r="I28" s="36">
        <f>+(I18*I19)+(I20*I21)+((I23*I2)*I22)+(I24*I2)+((I26*I2)*I25)</f>
        <v>6400</v>
      </c>
      <c r="J28" s="36">
        <f>+(J18*J19)+(J20*J21)+((J23*J2)*J22)+(J24*J2)+((J26*J2)*J25)</f>
        <v>6400</v>
      </c>
      <c r="K28" s="36">
        <f>+(K18*K19)+(K20*K21)+((K23*K2)*K22)+(K24*K2)+((K26*K2)*K25)</f>
        <v>5600</v>
      </c>
      <c r="L28" s="34"/>
      <c r="M28" s="27" t="s">
        <v>499</v>
      </c>
      <c r="N28" s="36">
        <f>+(N18*N19)+(N20*N21)+((N23*N2)*N22)+(N24*N2)+((N26*N2)*N25)</f>
        <v>6400</v>
      </c>
      <c r="O28" s="36">
        <f>+(O18*O19)+(O20*O21)+((O23*O2)*O22)+(O24*O2)+((O26*O2)*O25)</f>
        <v>6400</v>
      </c>
      <c r="P28" s="36">
        <f>+(P18*P19)+(P20*P21)+((P23*P2)*P22)+(P24*P2)+((P26*P2)*P25)</f>
        <v>6400</v>
      </c>
      <c r="Q28" s="36">
        <f>+(Q18*Q19)+(Q20*Q21)+((Q23*Q2)*Q22)+(Q24*Q2)+((Q26*Q2)*Q25)</f>
        <v>5600</v>
      </c>
    </row>
    <row r="29" spans="1:17">
      <c r="B29" s="34"/>
      <c r="C29" s="34"/>
      <c r="D29" s="34"/>
      <c r="E29" s="34"/>
      <c r="F29" s="34"/>
      <c r="H29" s="34"/>
      <c r="I29" s="34"/>
      <c r="J29" s="34"/>
      <c r="K29" s="34"/>
      <c r="L29" s="34"/>
      <c r="N29" s="34"/>
      <c r="O29" s="34"/>
      <c r="P29" s="34"/>
      <c r="Q29" s="34"/>
    </row>
    <row r="30" spans="1:17">
      <c r="A30" s="25" t="s">
        <v>492</v>
      </c>
      <c r="B30" s="34"/>
      <c r="C30" s="34"/>
      <c r="D30" s="34"/>
      <c r="E30" s="34"/>
      <c r="F30" s="34"/>
      <c r="G30" s="25" t="s">
        <v>492</v>
      </c>
      <c r="H30" s="34"/>
      <c r="I30" s="34"/>
      <c r="J30" s="34"/>
      <c r="K30" s="34"/>
      <c r="L30" s="34"/>
      <c r="M30" s="25" t="s">
        <v>492</v>
      </c>
      <c r="N30" s="34"/>
      <c r="O30" s="34"/>
      <c r="P30" s="34"/>
      <c r="Q30" s="34"/>
    </row>
    <row r="31" spans="1:17">
      <c r="A31" s="2" t="s">
        <v>500</v>
      </c>
      <c r="B31" s="34">
        <v>150</v>
      </c>
      <c r="C31" s="34">
        <v>150</v>
      </c>
      <c r="D31" s="34">
        <v>150</v>
      </c>
      <c r="E31" s="34">
        <v>150</v>
      </c>
      <c r="F31" s="34"/>
      <c r="G31" s="2" t="s">
        <v>500</v>
      </c>
      <c r="H31" s="34">
        <v>150</v>
      </c>
      <c r="I31" s="34">
        <v>150</v>
      </c>
      <c r="J31" s="34">
        <v>150</v>
      </c>
      <c r="K31" s="34">
        <v>150</v>
      </c>
      <c r="L31" s="34"/>
      <c r="M31" s="2" t="s">
        <v>500</v>
      </c>
      <c r="N31" s="34">
        <v>150</v>
      </c>
      <c r="O31" s="34">
        <v>150</v>
      </c>
      <c r="P31" s="34">
        <v>150</v>
      </c>
      <c r="Q31" s="34">
        <v>150</v>
      </c>
    </row>
    <row r="32" spans="1:17">
      <c r="A32" s="41" t="s">
        <v>493</v>
      </c>
      <c r="B32" s="34">
        <v>10</v>
      </c>
      <c r="C32" s="34">
        <v>10</v>
      </c>
      <c r="D32" s="34">
        <v>10</v>
      </c>
      <c r="E32" s="34">
        <v>10</v>
      </c>
      <c r="F32" s="34"/>
      <c r="G32" s="41" t="s">
        <v>493</v>
      </c>
      <c r="H32" s="34">
        <v>10</v>
      </c>
      <c r="I32" s="34">
        <v>10</v>
      </c>
      <c r="J32" s="34">
        <v>10</v>
      </c>
      <c r="K32" s="34">
        <v>10</v>
      </c>
      <c r="L32" s="34"/>
      <c r="M32" s="41" t="s">
        <v>493</v>
      </c>
      <c r="N32" s="34">
        <v>10</v>
      </c>
      <c r="O32" s="34">
        <v>10</v>
      </c>
      <c r="P32" s="34">
        <v>10</v>
      </c>
      <c r="Q32" s="34">
        <v>10</v>
      </c>
    </row>
    <row r="33" spans="1:17">
      <c r="A33" s="2" t="s">
        <v>88</v>
      </c>
      <c r="B33" s="34">
        <v>50</v>
      </c>
      <c r="C33" s="34">
        <v>50</v>
      </c>
      <c r="D33" s="34">
        <v>50</v>
      </c>
      <c r="E33" s="34">
        <v>50</v>
      </c>
      <c r="F33" s="34"/>
      <c r="G33" s="2" t="s">
        <v>88</v>
      </c>
      <c r="H33" s="34">
        <v>50</v>
      </c>
      <c r="I33" s="34">
        <v>50</v>
      </c>
      <c r="J33" s="34">
        <v>50</v>
      </c>
      <c r="K33" s="34">
        <v>50</v>
      </c>
      <c r="L33" s="34"/>
      <c r="M33" s="2" t="s">
        <v>88</v>
      </c>
      <c r="N33" s="34">
        <v>50</v>
      </c>
      <c r="O33" s="34">
        <v>50</v>
      </c>
      <c r="P33" s="34">
        <v>50</v>
      </c>
      <c r="Q33" s="34">
        <v>50</v>
      </c>
    </row>
    <row r="34" spans="1:17">
      <c r="A34" s="41" t="s">
        <v>493</v>
      </c>
      <c r="B34" s="34">
        <v>10</v>
      </c>
      <c r="C34" s="34">
        <v>10</v>
      </c>
      <c r="D34" s="34">
        <v>10</v>
      </c>
      <c r="E34" s="34">
        <v>10</v>
      </c>
      <c r="F34" s="34"/>
      <c r="G34" s="41" t="s">
        <v>493</v>
      </c>
      <c r="H34" s="34">
        <v>10</v>
      </c>
      <c r="I34" s="34">
        <v>10</v>
      </c>
      <c r="J34" s="34">
        <v>10</v>
      </c>
      <c r="K34" s="34">
        <v>10</v>
      </c>
      <c r="L34" s="34"/>
      <c r="M34" s="41" t="s">
        <v>493</v>
      </c>
      <c r="N34" s="34">
        <v>10</v>
      </c>
      <c r="O34" s="34">
        <v>10</v>
      </c>
      <c r="P34" s="34">
        <v>10</v>
      </c>
      <c r="Q34" s="34">
        <v>10</v>
      </c>
    </row>
    <row r="35" spans="1:17">
      <c r="A35" t="s">
        <v>501</v>
      </c>
      <c r="B35" s="34">
        <v>50</v>
      </c>
      <c r="C35" s="34">
        <v>50</v>
      </c>
      <c r="D35" s="34">
        <v>50</v>
      </c>
      <c r="E35" s="34">
        <v>50</v>
      </c>
      <c r="F35" s="34"/>
      <c r="G35" t="s">
        <v>501</v>
      </c>
      <c r="H35" s="34">
        <v>50</v>
      </c>
      <c r="I35" s="34">
        <v>50</v>
      </c>
      <c r="J35" s="34">
        <v>50</v>
      </c>
      <c r="K35" s="34">
        <v>50</v>
      </c>
      <c r="L35" s="34"/>
      <c r="M35" t="s">
        <v>501</v>
      </c>
      <c r="N35" s="34">
        <v>50</v>
      </c>
      <c r="O35" s="34">
        <v>50</v>
      </c>
      <c r="P35" s="34">
        <v>50</v>
      </c>
      <c r="Q35" s="34">
        <v>50</v>
      </c>
    </row>
    <row r="36" spans="1:17">
      <c r="A36" t="s">
        <v>434</v>
      </c>
      <c r="B36" s="34">
        <v>25</v>
      </c>
      <c r="C36" s="34">
        <v>25</v>
      </c>
      <c r="D36" s="34">
        <v>25</v>
      </c>
      <c r="E36" s="34">
        <v>25</v>
      </c>
      <c r="F36" s="34"/>
      <c r="G36" t="s">
        <v>434</v>
      </c>
      <c r="H36" s="34">
        <v>25</v>
      </c>
      <c r="I36" s="34">
        <v>25</v>
      </c>
      <c r="J36" s="34">
        <v>25</v>
      </c>
      <c r="K36" s="34">
        <v>25</v>
      </c>
      <c r="L36" s="34"/>
      <c r="M36" t="s">
        <v>434</v>
      </c>
      <c r="N36" s="34">
        <v>25</v>
      </c>
      <c r="O36" s="34">
        <v>25</v>
      </c>
      <c r="P36" s="34">
        <v>25</v>
      </c>
      <c r="Q36" s="34">
        <v>25</v>
      </c>
    </row>
    <row r="37" spans="1:17">
      <c r="A37" t="s">
        <v>502</v>
      </c>
      <c r="B37" s="34">
        <v>500</v>
      </c>
      <c r="C37" s="34">
        <v>500</v>
      </c>
      <c r="D37" s="34">
        <v>500</v>
      </c>
      <c r="E37" s="34">
        <v>500</v>
      </c>
      <c r="F37" s="34"/>
      <c r="G37" t="s">
        <v>502</v>
      </c>
      <c r="H37" s="34">
        <v>500</v>
      </c>
      <c r="I37" s="34">
        <v>500</v>
      </c>
      <c r="J37" s="34">
        <v>500</v>
      </c>
      <c r="K37" s="34">
        <v>500</v>
      </c>
      <c r="L37" s="34"/>
      <c r="M37" t="s">
        <v>502</v>
      </c>
      <c r="N37" s="34">
        <v>500</v>
      </c>
      <c r="O37" s="34">
        <v>500</v>
      </c>
      <c r="P37" s="34">
        <v>500</v>
      </c>
      <c r="Q37" s="34">
        <v>500</v>
      </c>
    </row>
    <row r="38" spans="1:17">
      <c r="B38" s="34"/>
      <c r="C38" s="34"/>
      <c r="D38" s="34"/>
      <c r="E38" s="34"/>
      <c r="F38" s="34"/>
      <c r="H38" s="34"/>
      <c r="I38" s="34"/>
      <c r="J38" s="34"/>
      <c r="K38" s="34"/>
      <c r="L38" s="34"/>
      <c r="N38" s="34"/>
      <c r="O38" s="34"/>
      <c r="P38" s="34"/>
      <c r="Q38" s="34"/>
    </row>
    <row r="39" spans="1:17">
      <c r="A39" t="s">
        <v>503</v>
      </c>
      <c r="B39" s="34">
        <v>550</v>
      </c>
      <c r="C39" s="34">
        <v>550</v>
      </c>
      <c r="D39" s="34">
        <v>550</v>
      </c>
      <c r="E39" s="34">
        <v>550</v>
      </c>
      <c r="F39" s="34"/>
      <c r="G39" t="s">
        <v>503</v>
      </c>
      <c r="H39" s="34">
        <v>550</v>
      </c>
      <c r="I39" s="34">
        <v>550</v>
      </c>
      <c r="J39" s="34">
        <v>550</v>
      </c>
      <c r="K39" s="34">
        <v>550</v>
      </c>
      <c r="L39" s="34"/>
      <c r="M39" t="s">
        <v>503</v>
      </c>
      <c r="N39" s="34">
        <v>550</v>
      </c>
      <c r="O39" s="34">
        <v>550</v>
      </c>
      <c r="P39" s="34">
        <v>550</v>
      </c>
      <c r="Q39" s="34">
        <v>550</v>
      </c>
    </row>
    <row r="40" spans="1:17">
      <c r="A40" t="s">
        <v>430</v>
      </c>
      <c r="B40" s="34">
        <v>300</v>
      </c>
      <c r="C40" s="34">
        <v>300</v>
      </c>
      <c r="D40" s="34">
        <v>300</v>
      </c>
      <c r="E40" s="34">
        <v>300</v>
      </c>
      <c r="F40" s="34"/>
      <c r="G40" t="s">
        <v>430</v>
      </c>
      <c r="H40" s="34">
        <v>300</v>
      </c>
      <c r="I40" s="34">
        <v>300</v>
      </c>
      <c r="J40" s="34">
        <v>300</v>
      </c>
      <c r="K40" s="34">
        <v>300</v>
      </c>
      <c r="L40" s="34"/>
      <c r="M40" t="s">
        <v>430</v>
      </c>
      <c r="N40" s="34">
        <v>300</v>
      </c>
      <c r="O40" s="34">
        <v>300</v>
      </c>
      <c r="P40" s="34">
        <v>300</v>
      </c>
      <c r="Q40" s="34">
        <v>300</v>
      </c>
    </row>
    <row r="41" spans="1:17">
      <c r="B41" s="34"/>
      <c r="C41" s="34"/>
      <c r="D41" s="34"/>
      <c r="E41" s="34"/>
      <c r="F41" s="34"/>
      <c r="H41" s="34"/>
      <c r="I41" s="34"/>
      <c r="J41" s="34"/>
      <c r="K41" s="34"/>
      <c r="L41" s="34"/>
      <c r="N41" s="34"/>
      <c r="O41" s="34"/>
      <c r="P41" s="34"/>
      <c r="Q41" s="34"/>
    </row>
    <row r="42" spans="1:17">
      <c r="A42" s="27" t="s">
        <v>504</v>
      </c>
      <c r="B42" s="36">
        <f>+(B31*B32)+(B33*B34)+(B37*B4)+(B35*B2)+(B2*B36)+B39+B40</f>
        <v>7100</v>
      </c>
      <c r="C42" s="36">
        <f>+(C31*C32)+(C33*C34)+(C37*C4)+(C35*C2)+(C2*C36)+C39+C40</f>
        <v>7100</v>
      </c>
      <c r="D42" s="36">
        <f>+(D31*D32)+(D33*D34)+(D37*D4)+(D35*D2)+(D2*D36)+D39+D40</f>
        <v>7100</v>
      </c>
      <c r="E42" s="36">
        <f>+(E31*E32)+(E33*E34)+(E37*E4)+(E35*E2)+(E2*E36)+E39+E40</f>
        <v>6950</v>
      </c>
      <c r="F42" s="34"/>
      <c r="G42" s="27" t="s">
        <v>504</v>
      </c>
      <c r="H42" s="36">
        <f>+(H31*H32)+(H33*H34)+(H37*H4)+(H35*H2)+(H2*H36)+H39+H40</f>
        <v>7100</v>
      </c>
      <c r="I42" s="36">
        <f>+(I31*I32)+(I33*I34)+(I37*I4)+(I35*I2)+(I2*I36)+I39+I40</f>
        <v>7100</v>
      </c>
      <c r="J42" s="36">
        <f>+(J31*J32)+(J33*J34)+(J37*J4)+(J35*J2)+(J2*J36)+J39+J40</f>
        <v>7100</v>
      </c>
      <c r="K42" s="36">
        <f>+(K31*K32)+(K33*K34)+(K37*K4)+(K35*K2)+(K2*K36)+K39+K40</f>
        <v>6950</v>
      </c>
      <c r="L42" s="34"/>
      <c r="M42" s="27" t="s">
        <v>504</v>
      </c>
      <c r="N42" s="36">
        <f>+(N31*N32)+(N33*N34)+(N37*N4)+(N35*N2)+(N2*N36)+N39+N40</f>
        <v>7100</v>
      </c>
      <c r="O42" s="36">
        <f>+(O31*O32)+(O33*O34)+(O37*O4)+(O35*O2)+(O2*O36)+O39+O40</f>
        <v>7100</v>
      </c>
      <c r="P42" s="36">
        <f>+(P31*P32)+(P33*P34)+(P37*P4)+(P35*P2)+(P2*P36)+P39+P40</f>
        <v>7100</v>
      </c>
      <c r="Q42" s="36">
        <f>+(Q31*Q32)+(Q33*Q34)+(Q37*Q4)+(Q35*Q2)+(Q2*Q36)+Q39+Q40</f>
        <v>6950</v>
      </c>
    </row>
    <row r="43" spans="1:17">
      <c r="B43" s="34"/>
      <c r="C43" s="34"/>
      <c r="D43" s="34"/>
      <c r="E43" s="34"/>
      <c r="F43" s="34"/>
      <c r="G43" s="34"/>
      <c r="H43" s="34"/>
      <c r="I43" s="34"/>
      <c r="J43" s="34"/>
      <c r="K43" s="34"/>
      <c r="L43" s="34"/>
      <c r="M43" s="34"/>
      <c r="N43" s="34"/>
      <c r="O43" s="34"/>
      <c r="P43" s="34"/>
      <c r="Q43" s="34"/>
    </row>
    <row r="44" spans="1:17" ht="15.75" thickBot="1">
      <c r="A44" s="26" t="s">
        <v>505</v>
      </c>
      <c r="B44" s="37">
        <f>+B42+B28+B15</f>
        <v>25642</v>
      </c>
      <c r="C44" s="37">
        <f>+C42+C28+C15</f>
        <v>25642</v>
      </c>
      <c r="D44" s="37">
        <f>+D42+D28+D15</f>
        <v>25642</v>
      </c>
      <c r="E44" s="37">
        <f>+E42+E28+E15</f>
        <v>21495</v>
      </c>
      <c r="F44" s="34"/>
      <c r="G44" s="37" t="s">
        <v>505</v>
      </c>
      <c r="H44" s="37">
        <f>+H42+H28+H15</f>
        <v>25642</v>
      </c>
      <c r="I44" s="37">
        <f>+I42+I28+I15</f>
        <v>25642</v>
      </c>
      <c r="J44" s="37">
        <f>+J42+J28+J15</f>
        <v>25642</v>
      </c>
      <c r="K44" s="37">
        <f>+K42+K28+K15</f>
        <v>21495</v>
      </c>
      <c r="L44" s="34"/>
      <c r="M44" s="37" t="s">
        <v>505</v>
      </c>
      <c r="N44" s="37">
        <f>+N42+N28+N15</f>
        <v>25642</v>
      </c>
      <c r="O44" s="37">
        <f>+O42+O28+O15</f>
        <v>25642</v>
      </c>
      <c r="P44" s="37">
        <f>+P42+P28+P15</f>
        <v>25642</v>
      </c>
      <c r="Q44" s="37">
        <f>+Q42+Q28+Q15</f>
        <v>21495</v>
      </c>
    </row>
    <row r="45" spans="1:17" ht="15.75" thickTop="1">
      <c r="B45" s="34"/>
      <c r="C45" s="34"/>
      <c r="D45" s="34"/>
      <c r="E45" s="34"/>
      <c r="F45" s="34"/>
      <c r="G45" s="34"/>
      <c r="H45" s="34"/>
      <c r="I45" s="34"/>
      <c r="J45" s="34"/>
      <c r="K45" s="34"/>
      <c r="L45" s="34"/>
      <c r="M45" s="34"/>
      <c r="N45" s="34"/>
      <c r="O45" s="34"/>
      <c r="P45" s="34"/>
      <c r="Q45" s="34"/>
    </row>
    <row r="46" spans="1:17">
      <c r="B46" s="34"/>
      <c r="C46" s="34"/>
      <c r="D46" s="34"/>
      <c r="E46" s="34"/>
      <c r="F46" s="34"/>
      <c r="G46" s="34"/>
      <c r="H46" s="34"/>
      <c r="I46" s="34"/>
      <c r="J46" s="34"/>
      <c r="K46" s="34"/>
      <c r="L46" s="34"/>
      <c r="M46" s="34"/>
      <c r="N46" s="34"/>
      <c r="O46" s="34"/>
      <c r="P46" s="34"/>
      <c r="Q46" s="34"/>
    </row>
    <row r="47" spans="1:17">
      <c r="A47" s="1" t="s">
        <v>505</v>
      </c>
      <c r="B47" s="33"/>
      <c r="C47" s="34"/>
      <c r="D47" s="34"/>
      <c r="E47" s="34"/>
      <c r="F47" s="34"/>
      <c r="G47" s="34"/>
      <c r="H47" s="34"/>
      <c r="I47" s="34"/>
      <c r="J47" s="34"/>
      <c r="K47" s="34"/>
      <c r="L47" s="34"/>
      <c r="M47" s="34"/>
      <c r="N47" s="34"/>
      <c r="O47" s="34"/>
      <c r="P47" s="34"/>
      <c r="Q47" s="34"/>
    </row>
    <row r="48" spans="1:17">
      <c r="A48" s="28">
        <v>42767</v>
      </c>
      <c r="B48" s="33">
        <f>+B44+H44+N44</f>
        <v>76926</v>
      </c>
      <c r="C48" s="34"/>
      <c r="D48" s="34"/>
      <c r="E48" s="34"/>
      <c r="F48" s="34"/>
      <c r="G48" s="34"/>
      <c r="H48" s="34"/>
      <c r="I48" s="34"/>
      <c r="J48" s="34"/>
      <c r="K48" s="34"/>
      <c r="L48" s="34"/>
      <c r="M48" s="34"/>
      <c r="N48" s="34"/>
      <c r="O48" s="34"/>
      <c r="P48" s="34"/>
      <c r="Q48" s="34"/>
    </row>
    <row r="49" spans="1:17">
      <c r="A49" s="28">
        <v>42856</v>
      </c>
      <c r="B49" s="33">
        <f>+C44+I44+O44</f>
        <v>76926</v>
      </c>
      <c r="C49" s="34"/>
      <c r="D49" s="34"/>
      <c r="E49" s="34"/>
      <c r="F49" s="34"/>
      <c r="G49" s="34"/>
      <c r="H49" s="34"/>
      <c r="I49" s="34"/>
      <c r="J49" s="34"/>
      <c r="K49" s="34"/>
      <c r="L49" s="34"/>
      <c r="M49" s="34"/>
      <c r="N49" s="34"/>
      <c r="O49" s="34"/>
      <c r="P49" s="34"/>
      <c r="Q49" s="34"/>
    </row>
    <row r="50" spans="1:17">
      <c r="A50" s="28">
        <v>43009</v>
      </c>
      <c r="B50" s="33">
        <f>+D44+J44+P44</f>
        <v>76926</v>
      </c>
      <c r="C50" s="34"/>
      <c r="D50" s="34"/>
      <c r="E50" s="34"/>
      <c r="F50" s="34"/>
      <c r="G50" s="34"/>
      <c r="H50" s="34"/>
      <c r="I50" s="34"/>
      <c r="J50" s="34"/>
      <c r="K50" s="34"/>
      <c r="L50" s="34"/>
      <c r="M50" s="34"/>
      <c r="N50" s="34"/>
      <c r="O50" s="34"/>
      <c r="P50" s="34"/>
      <c r="Q50" s="34"/>
    </row>
    <row r="51" spans="1:17">
      <c r="A51" s="28">
        <v>43132</v>
      </c>
      <c r="B51" s="33">
        <f>+E44+K44+Q44</f>
        <v>64485</v>
      </c>
      <c r="C51" s="34"/>
      <c r="D51" s="34"/>
      <c r="E51" s="34"/>
      <c r="F51" s="34"/>
      <c r="G51" s="34"/>
      <c r="H51" s="34"/>
      <c r="I51" s="34"/>
      <c r="J51" s="34"/>
      <c r="K51" s="34"/>
      <c r="L51" s="34"/>
      <c r="M51" s="34"/>
      <c r="N51" s="34"/>
      <c r="O51" s="34"/>
      <c r="P51" s="34"/>
      <c r="Q51" s="34"/>
    </row>
    <row r="52" spans="1:17">
      <c r="A52" s="1"/>
      <c r="B52" s="33">
        <f>SUM(B48:B51)</f>
        <v>295263</v>
      </c>
      <c r="C52" s="34"/>
      <c r="D52" s="34"/>
      <c r="E52" s="34"/>
      <c r="F52" s="34"/>
      <c r="G52" s="34"/>
      <c r="H52" s="34"/>
      <c r="I52" s="34"/>
      <c r="J52" s="34"/>
      <c r="K52" s="34"/>
      <c r="L52" s="34"/>
      <c r="M52" s="34"/>
      <c r="N52" s="34"/>
      <c r="O52" s="34"/>
      <c r="P52" s="34"/>
      <c r="Q52" s="34"/>
    </row>
    <row r="53" spans="1:17" ht="15.75" thickBot="1">
      <c r="B53" s="34"/>
      <c r="C53" s="34"/>
      <c r="D53" s="34"/>
      <c r="E53" s="34"/>
      <c r="F53" s="34"/>
      <c r="G53" s="34"/>
      <c r="H53" s="34"/>
      <c r="I53" s="34"/>
      <c r="J53" s="34"/>
      <c r="K53" s="34"/>
      <c r="L53" s="34"/>
      <c r="M53" s="34"/>
      <c r="N53" s="34"/>
      <c r="O53" s="34"/>
      <c r="P53" s="34"/>
      <c r="Q53" s="34"/>
    </row>
    <row r="54" spans="1:17">
      <c r="A54" s="32" t="s">
        <v>506</v>
      </c>
      <c r="B54" s="38"/>
      <c r="C54" s="34"/>
      <c r="D54" s="34"/>
      <c r="E54" s="34"/>
      <c r="F54" s="34"/>
      <c r="G54" s="34"/>
      <c r="H54" s="34"/>
      <c r="I54" s="34"/>
      <c r="J54" s="34"/>
      <c r="K54" s="34"/>
      <c r="L54" s="34"/>
      <c r="M54" s="34"/>
      <c r="N54" s="34"/>
      <c r="O54" s="34"/>
      <c r="P54" s="34"/>
      <c r="Q54" s="34"/>
    </row>
    <row r="55" spans="1:17">
      <c r="A55" s="29" t="s">
        <v>507</v>
      </c>
      <c r="B55" s="39">
        <v>500000</v>
      </c>
      <c r="C55" s="34"/>
      <c r="D55" s="34"/>
      <c r="E55" s="34"/>
      <c r="F55" s="34"/>
      <c r="G55" s="34"/>
      <c r="H55" s="34"/>
      <c r="I55" s="34"/>
      <c r="J55" s="34"/>
      <c r="K55" s="34"/>
      <c r="L55" s="34"/>
      <c r="M55" s="34"/>
      <c r="N55" s="34"/>
      <c r="O55" s="34"/>
      <c r="P55" s="34"/>
      <c r="Q55" s="34"/>
    </row>
    <row r="56" spans="1:17">
      <c r="A56" s="29" t="s">
        <v>508</v>
      </c>
      <c r="B56" s="39">
        <v>344000</v>
      </c>
      <c r="C56" s="34"/>
      <c r="D56" s="34"/>
      <c r="E56" s="34"/>
      <c r="F56" s="34"/>
      <c r="G56" s="34"/>
      <c r="H56" s="34"/>
      <c r="I56" s="34"/>
      <c r="J56" s="34"/>
      <c r="K56" s="34"/>
      <c r="L56" s="34"/>
      <c r="M56" s="34"/>
      <c r="N56" s="34"/>
      <c r="O56" s="34"/>
      <c r="P56" s="34"/>
      <c r="Q56" s="34"/>
    </row>
    <row r="57" spans="1:17">
      <c r="A57" s="29" t="s">
        <v>509</v>
      </c>
      <c r="B57" s="30">
        <f>+(B55-B56)/B55</f>
        <v>0.312</v>
      </c>
      <c r="C57" s="34"/>
      <c r="D57" s="34"/>
      <c r="E57" s="34"/>
      <c r="F57" s="34"/>
      <c r="G57" s="34"/>
      <c r="H57" s="34"/>
      <c r="I57" s="34"/>
      <c r="J57" s="34"/>
      <c r="K57" s="34"/>
      <c r="L57" s="34"/>
      <c r="M57" s="34"/>
      <c r="N57" s="34"/>
      <c r="O57" s="34"/>
      <c r="P57" s="34"/>
      <c r="Q57" s="34"/>
    </row>
    <row r="58" spans="1:17">
      <c r="A58" s="29" t="s">
        <v>510</v>
      </c>
      <c r="B58" s="39">
        <v>300975</v>
      </c>
      <c r="C58" s="34"/>
      <c r="D58" s="34"/>
      <c r="E58" s="34"/>
      <c r="F58" s="34"/>
      <c r="G58" s="34"/>
      <c r="H58" s="34"/>
      <c r="I58" s="34"/>
      <c r="J58" s="34"/>
      <c r="K58" s="34"/>
      <c r="L58" s="34"/>
      <c r="M58" s="34"/>
      <c r="N58" s="34"/>
      <c r="O58" s="34"/>
      <c r="P58" s="34"/>
      <c r="Q58" s="34"/>
    </row>
    <row r="59" spans="1:17" ht="15.75" thickBot="1">
      <c r="A59" s="31" t="s">
        <v>508</v>
      </c>
      <c r="B59" s="40">
        <f>+B58*(1-B57)</f>
        <v>207070.8</v>
      </c>
      <c r="C59" s="34"/>
      <c r="D59" s="34"/>
      <c r="E59" s="34"/>
      <c r="F59" s="34"/>
      <c r="G59" s="34"/>
      <c r="H59" s="34"/>
      <c r="I59" s="34"/>
      <c r="J59" s="34"/>
      <c r="K59" s="34"/>
      <c r="L59" s="34"/>
      <c r="M59" s="34"/>
      <c r="N59" s="34"/>
      <c r="O59" s="34"/>
      <c r="P59" s="34"/>
      <c r="Q59" s="34"/>
    </row>
  </sheetData>
  <pageMargins left="0.25" right="0.25"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Lisa Mayes</DisplayName>
        <AccountId>28</AccountId>
        <AccountType/>
      </UserInfo>
      <UserInfo>
        <DisplayName>Alix Johnson</DisplayName>
        <AccountId>69</AccountId>
        <AccountType/>
      </UserInfo>
      <UserInfo>
        <DisplayName>David Watson</DisplayName>
        <AccountId>13</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425A46C4-D71C-4A54-8C88-78FD0E29DF98}"/>
</file>

<file path=customXml/itemProps2.xml><?xml version="1.0" encoding="utf-8"?>
<ds:datastoreItem xmlns:ds="http://schemas.openxmlformats.org/officeDocument/2006/customXml" ds:itemID="{0C305E9E-A488-4DAD-83F2-AC0B0FEDE30E}"/>
</file>

<file path=customXml/itemProps3.xml><?xml version="1.0" encoding="utf-8"?>
<ds:datastoreItem xmlns:ds="http://schemas.openxmlformats.org/officeDocument/2006/customXml" ds:itemID="{EE515D50-6635-48C1-82CE-2D24B899A99E}"/>
</file>

<file path=docProps/app.xml><?xml version="1.0" encoding="utf-8"?>
<Properties xmlns="http://schemas.openxmlformats.org/officeDocument/2006/extended-properties" xmlns:vt="http://schemas.openxmlformats.org/officeDocument/2006/docPropsVTypes">
  <Application>Microsoft Excel Online</Application>
  <Manager/>
  <Company>Hull City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Duckworth Henrietta</dc:creator>
  <cp:keywords/>
  <dc:description/>
  <cp:lastModifiedBy>Henri Duckworth</cp:lastModifiedBy>
  <cp:revision/>
  <dcterms:created xsi:type="dcterms:W3CDTF">2016-03-05T23:05:43Z</dcterms:created>
  <dcterms:modified xsi:type="dcterms:W3CDTF">2017-02-21T09:45:12Z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